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idar\Documents\Project\ESJ GSP_GWA\"/>
    </mc:Choice>
  </mc:AlternateContent>
  <bookViews>
    <workbookView xWindow="0" yWindow="0" windowWidth="23040" windowHeight="9780"/>
  </bookViews>
  <sheets>
    <sheet name="3. Annual Budget " sheetId="1" r:id="rId1"/>
    <sheet name="Cost Allocation" sheetId="3" r:id="rId2"/>
    <sheet name="All 50_50" sheetId="4" r:id="rId3"/>
    <sheet name="All Even Split" sheetId="5" r:id="rId4"/>
    <sheet name="Comparison" sheetId="6" r:id="rId5"/>
  </sheets>
  <definedNames>
    <definedName name="_xlnm.Print_Area" localSheetId="0">'3. Annual Budget '!$C$1:$O$37</definedName>
    <definedName name="_xlnm.Print_Area" localSheetId="2">'All 50_50'!$A$1:$L$23</definedName>
    <definedName name="_xlnm.Print_Area" localSheetId="3">'All Even Split'!$A$1:$L$23</definedName>
    <definedName name="_xlnm.Print_Area" localSheetId="4">Comparison!$A$1:$D$22</definedName>
    <definedName name="_xlnm.Print_Area" localSheetId="1">'Cost Allocation'!$A$1:$M$23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19" i="6" s="1"/>
  <c r="C22" i="6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20" i="6"/>
  <c r="B3" i="6"/>
  <c r="B19" i="6" s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20" i="6"/>
  <c r="B21" i="6"/>
  <c r="G4" i="4"/>
  <c r="F4" i="4"/>
  <c r="L22" i="4"/>
  <c r="L21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B30" i="5"/>
  <c r="B28" i="5"/>
  <c r="B28" i="4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B28" i="3"/>
  <c r="D3" i="6"/>
  <c r="D19" i="6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20" i="6"/>
  <c r="D22" i="6"/>
  <c r="M21" i="3"/>
  <c r="J19" i="5"/>
  <c r="L19" i="5" s="1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5" i="3"/>
  <c r="L4" i="3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K4" i="5"/>
  <c r="K20" i="5" s="1"/>
  <c r="L8" i="5"/>
  <c r="B26" i="5"/>
  <c r="B25" i="5"/>
  <c r="B24" i="5"/>
  <c r="I20" i="5"/>
  <c r="H20" i="5"/>
  <c r="E20" i="5"/>
  <c r="D20" i="5"/>
  <c r="C20" i="5"/>
  <c r="B20" i="5"/>
  <c r="L16" i="5"/>
  <c r="B2" i="5"/>
  <c r="C2" i="5" s="1"/>
  <c r="D2" i="5" s="1"/>
  <c r="E2" i="5" s="1"/>
  <c r="F2" i="5" s="1"/>
  <c r="G2" i="5" s="1"/>
  <c r="H2" i="5" s="1"/>
  <c r="I2" i="5" s="1"/>
  <c r="J2" i="5" s="1"/>
  <c r="K2" i="5" s="1"/>
  <c r="L2" i="5" s="1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5" i="4"/>
  <c r="K4" i="4"/>
  <c r="B26" i="4"/>
  <c r="B25" i="4"/>
  <c r="B24" i="4"/>
  <c r="E20" i="4"/>
  <c r="D20" i="4"/>
  <c r="C20" i="4"/>
  <c r="B20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B26" i="3"/>
  <c r="B25" i="3"/>
  <c r="I17" i="3" s="1"/>
  <c r="B24" i="3"/>
  <c r="G18" i="3" s="1"/>
  <c r="L15" i="5" l="1"/>
  <c r="L7" i="5"/>
  <c r="L14" i="5"/>
  <c r="L13" i="5"/>
  <c r="L11" i="5"/>
  <c r="F20" i="5"/>
  <c r="L5" i="5"/>
  <c r="L10" i="5"/>
  <c r="L18" i="5"/>
  <c r="L9" i="5"/>
  <c r="L17" i="5"/>
  <c r="L12" i="5"/>
  <c r="L6" i="5"/>
  <c r="K20" i="4"/>
  <c r="J11" i="4"/>
  <c r="L11" i="4" s="1"/>
  <c r="J8" i="4"/>
  <c r="L8" i="4" s="1"/>
  <c r="J16" i="4"/>
  <c r="L16" i="4" s="1"/>
  <c r="J5" i="4"/>
  <c r="L5" i="4" s="1"/>
  <c r="J9" i="4"/>
  <c r="L9" i="4" s="1"/>
  <c r="J19" i="4"/>
  <c r="L19" i="4" s="1"/>
  <c r="J12" i="4"/>
  <c r="L12" i="4" s="1"/>
  <c r="J17" i="4"/>
  <c r="L17" i="4" s="1"/>
  <c r="J4" i="4"/>
  <c r="J7" i="4"/>
  <c r="L7" i="4" s="1"/>
  <c r="J14" i="4"/>
  <c r="L14" i="4" s="1"/>
  <c r="J18" i="4"/>
  <c r="L18" i="4" s="1"/>
  <c r="J15" i="4"/>
  <c r="L15" i="4" s="1"/>
  <c r="H20" i="4"/>
  <c r="I6" i="3"/>
  <c r="H10" i="3"/>
  <c r="H18" i="3"/>
  <c r="I14" i="3"/>
  <c r="H11" i="3"/>
  <c r="I11" i="3"/>
  <c r="H8" i="3"/>
  <c r="I4" i="3"/>
  <c r="I8" i="3"/>
  <c r="I12" i="3"/>
  <c r="I16" i="3"/>
  <c r="H6" i="3"/>
  <c r="H14" i="3"/>
  <c r="I18" i="3"/>
  <c r="H19" i="3"/>
  <c r="I7" i="3"/>
  <c r="I15" i="3"/>
  <c r="H16" i="3"/>
  <c r="H5" i="3"/>
  <c r="H9" i="3"/>
  <c r="H13" i="3"/>
  <c r="H17" i="3"/>
  <c r="I10" i="3"/>
  <c r="H7" i="3"/>
  <c r="H15" i="3"/>
  <c r="I19" i="3"/>
  <c r="H4" i="3"/>
  <c r="H12" i="3"/>
  <c r="I5" i="3"/>
  <c r="I9" i="3"/>
  <c r="I13" i="3"/>
  <c r="F5" i="3"/>
  <c r="F11" i="3"/>
  <c r="F17" i="3"/>
  <c r="F19" i="3"/>
  <c r="F9" i="3"/>
  <c r="F15" i="3"/>
  <c r="G5" i="3"/>
  <c r="G9" i="3"/>
  <c r="G13" i="3"/>
  <c r="G19" i="3"/>
  <c r="F4" i="3"/>
  <c r="F6" i="3"/>
  <c r="F8" i="3"/>
  <c r="F10" i="3"/>
  <c r="F12" i="3"/>
  <c r="F14" i="3"/>
  <c r="F16" i="3"/>
  <c r="F18" i="3"/>
  <c r="F7" i="3"/>
  <c r="F13" i="3"/>
  <c r="G7" i="3"/>
  <c r="G11" i="3"/>
  <c r="G15" i="3"/>
  <c r="G17" i="3"/>
  <c r="G4" i="3"/>
  <c r="G6" i="3"/>
  <c r="G8" i="3"/>
  <c r="G10" i="3"/>
  <c r="G12" i="3"/>
  <c r="G14" i="3"/>
  <c r="G16" i="3"/>
  <c r="G20" i="5" l="1"/>
  <c r="J10" i="4"/>
  <c r="L10" i="4" s="1"/>
  <c r="J6" i="4"/>
  <c r="L6" i="4" s="1"/>
  <c r="L4" i="4"/>
  <c r="I20" i="4"/>
  <c r="J13" i="4"/>
  <c r="L13" i="4" s="1"/>
  <c r="G20" i="4"/>
  <c r="F20" i="4"/>
  <c r="O6" i="4" l="1"/>
  <c r="J20" i="5"/>
  <c r="L4" i="5"/>
  <c r="L20" i="5" s="1"/>
  <c r="L22" i="5" s="1"/>
  <c r="J20" i="4"/>
  <c r="L20" i="4"/>
  <c r="B2" i="3" l="1"/>
  <c r="C2" i="3" s="1"/>
  <c r="D2" i="3" s="1"/>
  <c r="E2" i="3" s="1"/>
  <c r="F2" i="3" s="1"/>
  <c r="G2" i="3" s="1"/>
  <c r="H2" i="3" s="1"/>
  <c r="I2" i="3" s="1"/>
  <c r="J2" i="3" s="1"/>
  <c r="K2" i="3" s="1"/>
  <c r="J19" i="3"/>
  <c r="J6" i="3"/>
  <c r="J18" i="3"/>
  <c r="J17" i="3"/>
  <c r="J16" i="3"/>
  <c r="J15" i="3"/>
  <c r="J14" i="3"/>
  <c r="J13" i="3"/>
  <c r="J12" i="3"/>
  <c r="J11" i="3"/>
  <c r="J10" i="3"/>
  <c r="J9" i="3"/>
  <c r="J8" i="3"/>
  <c r="J7" i="3"/>
  <c r="J5" i="3"/>
  <c r="H20" i="3" l="1"/>
  <c r="G20" i="3"/>
  <c r="E20" i="3"/>
  <c r="D20" i="3"/>
  <c r="C20" i="3"/>
  <c r="B20" i="3"/>
  <c r="M27" i="1"/>
  <c r="M33" i="1"/>
  <c r="N32" i="1"/>
  <c r="N30" i="1"/>
  <c r="N25" i="1"/>
  <c r="N22" i="1"/>
  <c r="N20" i="1"/>
  <c r="N15" i="1"/>
  <c r="M7" i="1"/>
  <c r="N27" i="1" l="1"/>
  <c r="M13" i="3"/>
  <c r="M5" i="3"/>
  <c r="M18" i="3"/>
  <c r="M17" i="3"/>
  <c r="M12" i="3"/>
  <c r="M19" i="3"/>
  <c r="M11" i="3"/>
  <c r="M10" i="3"/>
  <c r="M9" i="3"/>
  <c r="M16" i="3"/>
  <c r="M8" i="3"/>
  <c r="M15" i="3"/>
  <c r="M7" i="3"/>
  <c r="M14" i="3"/>
  <c r="M6" i="3"/>
  <c r="N33" i="1"/>
  <c r="M34" i="1"/>
  <c r="N7" i="1"/>
  <c r="K20" i="3" l="1"/>
  <c r="N34" i="1"/>
  <c r="F20" i="3" l="1"/>
  <c r="J4" i="3" l="1"/>
  <c r="M4" i="3" s="1"/>
  <c r="I20" i="3"/>
  <c r="J20" i="3" l="1"/>
  <c r="M20" i="3"/>
  <c r="M23" i="3" l="1"/>
  <c r="B22" i="6" s="1"/>
</calcChain>
</file>

<file path=xl/sharedStrings.xml><?xml version="1.0" encoding="utf-8"?>
<sst xmlns="http://schemas.openxmlformats.org/spreadsheetml/2006/main" count="329" uniqueCount="176">
  <si>
    <t>A.</t>
  </si>
  <si>
    <t>Lead Entity</t>
  </si>
  <si>
    <t># of Wells</t>
  </si>
  <si>
    <t>Frequency</t>
  </si>
  <si>
    <t>Level of Effort</t>
  </si>
  <si>
    <t>When</t>
  </si>
  <si>
    <t>Where</t>
  </si>
  <si>
    <t>Equiptment</t>
  </si>
  <si>
    <t>Cost Items</t>
  </si>
  <si>
    <t>Cost Estimate</t>
  </si>
  <si>
    <t>Notes</t>
  </si>
  <si>
    <t>1.</t>
  </si>
  <si>
    <t>Level Monitoring</t>
  </si>
  <si>
    <t>ESJGWA/County</t>
  </si>
  <si>
    <t>Semi-Annual</t>
  </si>
  <si>
    <t>High</t>
  </si>
  <si>
    <t>October/March</t>
  </si>
  <si>
    <t>Various</t>
  </si>
  <si>
    <t>Truck, Tape/Solnist</t>
  </si>
  <si>
    <t>T&amp;M, Equiptment, Safety</t>
  </si>
  <si>
    <t>2.</t>
  </si>
  <si>
    <t>Quality Monitoring</t>
  </si>
  <si>
    <t>Truck, Generator, Pump</t>
  </si>
  <si>
    <t>T&amp;M, Rental, Equiptment, Safety</t>
  </si>
  <si>
    <t>3.</t>
  </si>
  <si>
    <t>Annual Reporting</t>
  </si>
  <si>
    <t>ESJGWA/Consultant</t>
  </si>
  <si>
    <t>Annual</t>
  </si>
  <si>
    <t>Consultant, Project Manager, T&amp;M, Coordination</t>
  </si>
  <si>
    <t>Medium</t>
  </si>
  <si>
    <t>4.</t>
  </si>
  <si>
    <t>Data Management System Updates</t>
  </si>
  <si>
    <t>B.</t>
  </si>
  <si>
    <t>Mokelumne River Loss Study Project</t>
  </si>
  <si>
    <t>One Time</t>
  </si>
  <si>
    <t>Mokelumne River</t>
  </si>
  <si>
    <t>Surveys, Piezometers</t>
  </si>
  <si>
    <t xml:space="preserve">T&amp;M, Equiptment, Safety, Anaylsis </t>
  </si>
  <si>
    <t>Model Refinements</t>
  </si>
  <si>
    <t>Every 5-yrs</t>
  </si>
  <si>
    <t>2023-2024</t>
  </si>
  <si>
    <t>T&amp;M, Consultant</t>
  </si>
  <si>
    <t>$275k every 5-years: $55k annualized</t>
  </si>
  <si>
    <t>Additional Wells if needed</t>
  </si>
  <si>
    <t>Varies</t>
  </si>
  <si>
    <t>Property Access, permits</t>
  </si>
  <si>
    <t>Well Drilling - Mob/T&amp;M/Geologist</t>
  </si>
  <si>
    <t>Review of water quality data</t>
  </si>
  <si>
    <t>C.</t>
  </si>
  <si>
    <t>Administrative Tasks</t>
  </si>
  <si>
    <t>See Tab 1. dmin. Work Plan</t>
  </si>
  <si>
    <t>$180k base + $50k audit/insurance</t>
  </si>
  <si>
    <t>D.</t>
  </si>
  <si>
    <t>5-year Evaluation Reports</t>
  </si>
  <si>
    <t>$1.5M every 5-years, $300k annualized cost</t>
  </si>
  <si>
    <t>E.</t>
  </si>
  <si>
    <t xml:space="preserve">Public Outreach and Website Maintenance </t>
  </si>
  <si>
    <t>Mailing List Maintenance</t>
  </si>
  <si>
    <t>As Needed</t>
  </si>
  <si>
    <t>Low</t>
  </si>
  <si>
    <t>Computer/Internet</t>
  </si>
  <si>
    <t>Newsletter</t>
  </si>
  <si>
    <t>November/May</t>
  </si>
  <si>
    <t>Computer/Internet/Graphics</t>
  </si>
  <si>
    <t>T&amp;M, Consultant, Printing, Postage</t>
  </si>
  <si>
    <t>Public Meetings</t>
  </si>
  <si>
    <t>November</t>
  </si>
  <si>
    <t>Maintain Website</t>
  </si>
  <si>
    <t>Monthly</t>
  </si>
  <si>
    <t>ongoing</t>
  </si>
  <si>
    <t>F.</t>
  </si>
  <si>
    <t>G.</t>
  </si>
  <si>
    <t>Every 5-years</t>
  </si>
  <si>
    <t>$50k every 2-years; $25k anualized cost</t>
  </si>
  <si>
    <t>Total Annual Budget</t>
  </si>
  <si>
    <t xml:space="preserve">Analysis </t>
  </si>
  <si>
    <t>Equal Share Cost Split</t>
  </si>
  <si>
    <t xml:space="preserve">Grant Writing </t>
  </si>
  <si>
    <t>Basin-wide Planning</t>
  </si>
  <si>
    <t>Project Specific Implementation</t>
  </si>
  <si>
    <t xml:space="preserve">Water Use/Population Split </t>
  </si>
  <si>
    <t>Total</t>
  </si>
  <si>
    <t>Subtotal</t>
  </si>
  <si>
    <r>
      <rPr>
        <b/>
        <sz val="9.5"/>
        <rFont val="Calibri"/>
        <family val="2"/>
      </rPr>
      <t>Total per GSA on even split items</t>
    </r>
  </si>
  <si>
    <r>
      <rPr>
        <b/>
        <sz val="9.5"/>
        <rFont val="Calibri"/>
        <family val="2"/>
      </rPr>
      <t>Zone 2 Funding</t>
    </r>
  </si>
  <si>
    <r>
      <rPr>
        <b/>
        <sz val="9.5"/>
        <rFont val="Calibri"/>
        <family val="2"/>
      </rPr>
      <t>5‐YR Update</t>
    </r>
  </si>
  <si>
    <r>
      <rPr>
        <b/>
        <sz val="9.5"/>
        <rFont val="Calibri"/>
        <family val="2"/>
      </rPr>
      <t>Model Refinements</t>
    </r>
  </si>
  <si>
    <r>
      <rPr>
        <sz val="9.5"/>
        <rFont val="Calibri"/>
        <family val="2"/>
      </rPr>
      <t>Eastside SJ GSA</t>
    </r>
  </si>
  <si>
    <r>
      <rPr>
        <sz val="9.5"/>
        <rFont val="Calibri"/>
        <family val="2"/>
      </rPr>
      <t>WID GSA</t>
    </r>
  </si>
  <si>
    <r>
      <rPr>
        <sz val="9.5"/>
        <rFont val="Calibri"/>
        <family val="2"/>
      </rPr>
      <t>Stockton</t>
    </r>
  </si>
  <si>
    <r>
      <rPr>
        <sz val="9.5"/>
        <rFont val="Calibri"/>
        <family val="2"/>
      </rPr>
      <t>SSJ GSA</t>
    </r>
  </si>
  <si>
    <r>
      <rPr>
        <sz val="9.5"/>
        <rFont val="Calibri"/>
        <family val="2"/>
      </rPr>
      <t>SJC #2</t>
    </r>
  </si>
  <si>
    <r>
      <rPr>
        <sz val="9.5"/>
        <rFont val="Calibri"/>
        <family val="2"/>
      </rPr>
      <t>SJC #1</t>
    </r>
  </si>
  <si>
    <r>
      <rPr>
        <sz val="9.5"/>
        <rFont val="Calibri"/>
        <family val="2"/>
      </rPr>
      <t>SEWD</t>
    </r>
  </si>
  <si>
    <r>
      <rPr>
        <sz val="9.5"/>
        <rFont val="Calibri"/>
        <family val="2"/>
      </rPr>
      <t>SDWA</t>
    </r>
  </si>
  <si>
    <r>
      <rPr>
        <sz val="9.5"/>
        <rFont val="Calibri"/>
        <family val="2"/>
      </rPr>
      <t>OID</t>
    </r>
  </si>
  <si>
    <r>
      <rPr>
        <sz val="9.5"/>
        <rFont val="Calibri"/>
        <family val="2"/>
      </rPr>
      <t>NSJWCD</t>
    </r>
  </si>
  <si>
    <r>
      <rPr>
        <sz val="9.5"/>
        <rFont val="Calibri"/>
        <family val="2"/>
      </rPr>
      <t>Manteca</t>
    </r>
  </si>
  <si>
    <r>
      <rPr>
        <sz val="9.5"/>
        <rFont val="Calibri"/>
        <family val="2"/>
      </rPr>
      <t>Lodi</t>
    </r>
  </si>
  <si>
    <r>
      <rPr>
        <sz val="9.5"/>
        <rFont val="Calibri"/>
        <family val="2"/>
      </rPr>
      <t>LCWD</t>
    </r>
  </si>
  <si>
    <r>
      <rPr>
        <sz val="9.5"/>
        <rFont val="Calibri"/>
        <family val="2"/>
      </rPr>
      <t>LCSD</t>
    </r>
  </si>
  <si>
    <r>
      <rPr>
        <sz val="9.5"/>
        <rFont val="Calibri"/>
        <family val="2"/>
      </rPr>
      <t>CSJWCD</t>
    </r>
  </si>
  <si>
    <r>
      <rPr>
        <sz val="9.5"/>
        <rFont val="Calibri"/>
        <family val="2"/>
      </rPr>
      <t>CDWA</t>
    </r>
  </si>
  <si>
    <r>
      <rPr>
        <b/>
        <sz val="9.5"/>
        <rFont val="Calibri"/>
        <family val="2"/>
      </rPr>
      <t>50% Yearly Cost Allocation for 5‐YR Update (population)</t>
    </r>
  </si>
  <si>
    <r>
      <rPr>
        <b/>
        <sz val="9.5"/>
        <rFont val="Calibri"/>
        <family val="2"/>
      </rPr>
      <t xml:space="preserve">50% Yearly Cost Allocation for 5‐YR Update
</t>
    </r>
    <r>
      <rPr>
        <b/>
        <sz val="9.5"/>
        <rFont val="Calibri"/>
        <family val="2"/>
      </rPr>
      <t>(pumping)</t>
    </r>
  </si>
  <si>
    <r>
      <rPr>
        <b/>
        <sz val="9.5"/>
        <rFont val="Calibri"/>
        <family val="2"/>
      </rPr>
      <t>50% Yearly Cost Allocation for Model Refinements (Pumping)</t>
    </r>
  </si>
  <si>
    <r>
      <rPr>
        <b/>
        <sz val="9.5"/>
        <rFont val="Calibri"/>
        <family val="2"/>
      </rPr>
      <t>50% Yearly Cost Allocation for Model Refinements (Population)</t>
    </r>
  </si>
  <si>
    <r>
      <rPr>
        <b/>
        <sz val="9.5"/>
        <rFont val="Calibri"/>
        <family val="2"/>
      </rPr>
      <t>Population (2017)</t>
    </r>
  </si>
  <si>
    <r>
      <rPr>
        <b/>
        <sz val="9.5"/>
        <rFont val="Calibri"/>
        <family val="2"/>
      </rPr>
      <t>Developed Acreage</t>
    </r>
  </si>
  <si>
    <r>
      <rPr>
        <b/>
        <sz val="9.5"/>
        <rFont val="Calibri"/>
        <family val="2"/>
      </rPr>
      <t>Total Acreage</t>
    </r>
  </si>
  <si>
    <r>
      <rPr>
        <b/>
        <sz val="9.5"/>
        <rFont val="Calibri"/>
        <family val="2"/>
      </rPr>
      <t>Total Pumping‐ Projected (AFY)</t>
    </r>
  </si>
  <si>
    <r>
      <rPr>
        <b/>
        <sz val="9.5"/>
        <rFont val="Calibri"/>
        <family val="2"/>
      </rPr>
      <t>GSA</t>
    </r>
  </si>
  <si>
    <t>DWR Required Reporting, Basin Conditions</t>
  </si>
  <si>
    <t>Yearly Cost Allocation per GSA
(pumping&amp;pop)
(6+7+8+9)</t>
  </si>
  <si>
    <t>Yearly Cost Allocation for Even Split Items</t>
  </si>
  <si>
    <t>(1) Monitoring/Reporting  Costs</t>
  </si>
  <si>
    <t>Annual Reporting and Data Mngt Costs</t>
  </si>
  <si>
    <t>Annual Reporting and DMS Costs</t>
  </si>
  <si>
    <t>Zone 2</t>
  </si>
  <si>
    <t>all 50/50</t>
  </si>
  <si>
    <t>Total Cost</t>
  </si>
  <si>
    <t>50% Yearly Cost (Population)</t>
  </si>
  <si>
    <t xml:space="preserve">50% Yearly Cost Allocation </t>
  </si>
  <si>
    <t xml:space="preserve">Eastside percent adjustment for out of County non Zone 2A.  As one of 16 GSA Partners, 6.67% of $95K for Annual Reporting and Data Management   </t>
  </si>
  <si>
    <t>5‐YR Update</t>
  </si>
  <si>
    <t>Zone 2 Funding</t>
  </si>
  <si>
    <t>Total per GSA on even split items</t>
  </si>
  <si>
    <t>Even Split Total including Reporting and Data Management</t>
  </si>
  <si>
    <t>Annual Cost A3+A4</t>
  </si>
  <si>
    <t>Annual Cost B</t>
  </si>
  <si>
    <t>Yearly Cost Allocation per GSA
Even Split</t>
  </si>
  <si>
    <t xml:space="preserve"> EastSide GSA Non-Zone 2 Adjustment</t>
  </si>
  <si>
    <t xml:space="preserve"> GSAs</t>
  </si>
  <si>
    <t xml:space="preserve">50% Yearly Cost Allocation (pumping) </t>
  </si>
  <si>
    <t xml:space="preserve">Eastside percent adjustment, out of County non Zone 2A.     </t>
  </si>
  <si>
    <t>As one of 16 GSA Partners, 6.67% of $95K for Annual Reporting and Data Management</t>
  </si>
  <si>
    <t>Yearly Cost Allocation 
50/50, Even Split, Eastside Adj
(10+11)</t>
  </si>
  <si>
    <t>GSA</t>
  </si>
  <si>
    <t>CDWA</t>
  </si>
  <si>
    <t>CSJWCD</t>
  </si>
  <si>
    <t>Eastside SJ GSA</t>
  </si>
  <si>
    <t>LCSD</t>
  </si>
  <si>
    <t>LCWD</t>
  </si>
  <si>
    <t>Lodi</t>
  </si>
  <si>
    <t>Manteca</t>
  </si>
  <si>
    <t>NSJWCD</t>
  </si>
  <si>
    <t>OID</t>
  </si>
  <si>
    <t>SDWA</t>
  </si>
  <si>
    <t>SEWD</t>
  </si>
  <si>
    <t>SJC #1</t>
  </si>
  <si>
    <t>SJC #2</t>
  </si>
  <si>
    <t>SSJ GSA</t>
  </si>
  <si>
    <t>Stockton</t>
  </si>
  <si>
    <t>WID GSA</t>
  </si>
  <si>
    <t>Yearly Cost Allocation 
Even Split
(10+11)</t>
  </si>
  <si>
    <t>Yearly Cost Allocation
50/50 
(10+11)</t>
  </si>
  <si>
    <t xml:space="preserve">Includes 250K 1st Year and $225,000/yr from Zone 2.  </t>
  </si>
  <si>
    <t>$50K for 1st year, $20k per year after year 1. $20K annualized cost  w/ Extra $30K data management cost picked up by Zone 2 in Yr 1.</t>
  </si>
  <si>
    <t>139 Wells</t>
  </si>
  <si>
    <t>40 Wells</t>
  </si>
  <si>
    <t xml:space="preserve">Eastside percent adjustment for out of County non Zone 2A.  As one of 16 GSA Partners, 6.67% of $95K for A.3. Annual Reporting and A.4 Data Management   </t>
  </si>
  <si>
    <t>Note Eastside SJ GSA is outside of San Joaquin County and cannot derive benefits from Zone 2A Assessments</t>
  </si>
  <si>
    <t>Monitoring and Reporting  (1)</t>
  </si>
  <si>
    <t xml:space="preserve">(1) Level and Quality Monitoring in County is funded in part by Zone 2A.   Eastside SJ GSA is outside of Zone 2.   </t>
  </si>
  <si>
    <t xml:space="preserve">Zone 2 will contribute $250K the 1st year and $225K/year in years 2 thru 5.  </t>
  </si>
  <si>
    <t>Annual Equal Share Costs (1/16) = $22187.5</t>
  </si>
  <si>
    <t xml:space="preserve">Table 2 -  Cost Allocation with 50/50 Split for Modeling and 5 Year Update,  Even Split Items and Eastside Adjustment </t>
  </si>
  <si>
    <t xml:space="preserve">Table 1 - GWA Annual Costs </t>
  </si>
  <si>
    <t xml:space="preserve">Table 3 - GWA Annual Cost with 50/50 Split </t>
  </si>
  <si>
    <t>Table 4 - Equal Split of All Costs</t>
  </si>
  <si>
    <t>Table 5 - Comparison of Cost Allocation Methods</t>
  </si>
  <si>
    <t>Yearly Cost Allocation 
Even Split</t>
  </si>
  <si>
    <t xml:space="preserve">Yearly Cost Allocation
50/50 </t>
  </si>
  <si>
    <t>Sub Total</t>
  </si>
  <si>
    <t>GSAs</t>
  </si>
  <si>
    <t>Yearly Cost Allocation 
50/50, Even Split, Eastside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</si>
</sst>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$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Minion Pro"/>
    </font>
    <font>
      <b/>
      <sz val="9.5"/>
      <color rgb="FF000000"/>
      <name val="Calibri"/>
      <family val="2"/>
    </font>
    <font>
      <b/>
      <sz val="9.5"/>
      <name val="Calibri"/>
      <family val="2"/>
    </font>
    <font>
      <b/>
      <sz val="8.5"/>
      <color rgb="FF000000"/>
      <name val="Calibri"/>
      <family val="2"/>
    </font>
    <font>
      <sz val="8.5"/>
      <name val="Calibri"/>
      <family val="2"/>
    </font>
    <font>
      <sz val="9.5"/>
      <color rgb="FF000000"/>
      <name val="Calibri"/>
      <family val="2"/>
    </font>
    <font>
      <sz val="9.5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9.5"/>
      <color rgb="FF000000"/>
      <name val="Calibri Light"/>
      <family val="2"/>
      <scheme val="maj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lightDown"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lightDown">
        <bgColor theme="9" tint="0.79998168889431442"/>
      </patternFill>
    </fill>
    <fill>
      <patternFill patternType="solid">
        <fgColor rgb="FFE7E6E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28">
    <xf numFmtId="0" fontId="0" fillId="0" borderId="0" xfId="0"/>
    <xf numFmtId="49" fontId="0" fillId="0" borderId="1" xfId="0" applyNumberFormat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indent="3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49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left" indent="3"/>
    </xf>
    <xf numFmtId="0" fontId="0" fillId="4" borderId="1" xfId="0" applyFill="1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2" fillId="2" borderId="1" xfId="0" applyFont="1" applyFill="1" applyBorder="1" applyAlignment="1"/>
    <xf numFmtId="164" fontId="0" fillId="0" borderId="0" xfId="1" applyNumberFormat="1" applyFont="1" applyBorder="1"/>
    <xf numFmtId="164" fontId="0" fillId="0" borderId="3" xfId="1" applyNumberFormat="1" applyFont="1" applyBorder="1"/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164" fontId="0" fillId="4" borderId="2" xfId="1" applyNumberFormat="1" applyFont="1" applyFill="1" applyBorder="1"/>
    <xf numFmtId="0" fontId="0" fillId="4" borderId="1" xfId="0" applyFill="1" applyBorder="1" applyAlignment="1">
      <alignment horizontal="left" indent="2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left" indent="1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/>
    <xf numFmtId="164" fontId="0" fillId="6" borderId="1" xfId="1" applyNumberFormat="1" applyFont="1" applyFill="1" applyBorder="1"/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6" borderId="2" xfId="1" applyNumberFormat="1" applyFont="1" applyFill="1" applyBorder="1"/>
    <xf numFmtId="0" fontId="0" fillId="6" borderId="1" xfId="0" applyFill="1" applyBorder="1" applyAlignment="1">
      <alignment horizontal="left" indent="3"/>
    </xf>
    <xf numFmtId="0" fontId="0" fillId="8" borderId="1" xfId="0" applyFill="1" applyBorder="1"/>
    <xf numFmtId="0" fontId="2" fillId="8" borderId="1" xfId="0" applyFont="1" applyFill="1" applyBorder="1" applyAlignment="1">
      <alignment horizontal="center"/>
    </xf>
    <xf numFmtId="164" fontId="2" fillId="8" borderId="1" xfId="1" applyNumberFormat="1" applyFont="1" applyFill="1" applyBorder="1" applyAlignment="1">
      <alignment horizontal="center"/>
    </xf>
    <xf numFmtId="49" fontId="0" fillId="8" borderId="1" xfId="0" applyNumberFormat="1" applyFill="1" applyBorder="1" applyAlignment="1">
      <alignment horizontal="right"/>
    </xf>
    <xf numFmtId="0" fontId="0" fillId="8" borderId="1" xfId="0" applyFill="1" applyBorder="1" applyAlignment="1">
      <alignment horizontal="left" indent="1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/>
    <xf numFmtId="164" fontId="0" fillId="8" borderId="1" xfId="1" applyNumberFormat="1" applyFont="1" applyFill="1" applyBorder="1"/>
    <xf numFmtId="0" fontId="0" fillId="9" borderId="1" xfId="0" applyFill="1" applyBorder="1" applyAlignment="1">
      <alignment horizontal="center"/>
    </xf>
    <xf numFmtId="16" fontId="0" fillId="8" borderId="1" xfId="0" applyNumberFormat="1" applyFill="1" applyBorder="1"/>
    <xf numFmtId="164" fontId="0" fillId="8" borderId="2" xfId="1" applyNumberFormat="1" applyFont="1" applyFill="1" applyBorder="1"/>
    <xf numFmtId="164" fontId="0" fillId="8" borderId="3" xfId="1" applyNumberFormat="1" applyFont="1" applyFill="1" applyBorder="1" applyAlignment="1">
      <alignment vertical="center"/>
    </xf>
    <xf numFmtId="0" fontId="0" fillId="8" borderId="1" xfId="0" applyFill="1" applyBorder="1" applyAlignment="1">
      <alignment wrapText="1"/>
    </xf>
    <xf numFmtId="49" fontId="0" fillId="8" borderId="3" xfId="0" applyNumberFormat="1" applyFill="1" applyBorder="1" applyAlignment="1">
      <alignment horizontal="right"/>
    </xf>
    <xf numFmtId="0" fontId="0" fillId="8" borderId="3" xfId="0" applyFill="1" applyBorder="1" applyAlignment="1">
      <alignment horizontal="left" indent="3"/>
    </xf>
    <xf numFmtId="0" fontId="0" fillId="8" borderId="3" xfId="0" applyFill="1" applyBorder="1" applyAlignment="1">
      <alignment horizontal="center"/>
    </xf>
    <xf numFmtId="0" fontId="0" fillId="8" borderId="3" xfId="0" applyFont="1" applyFill="1" applyBorder="1"/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164" fontId="0" fillId="0" borderId="0" xfId="0" applyNumberFormat="1"/>
    <xf numFmtId="0" fontId="0" fillId="4" borderId="2" xfId="0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4" borderId="2" xfId="0" applyFont="1" applyFill="1" applyBorder="1"/>
    <xf numFmtId="0" fontId="2" fillId="8" borderId="3" xfId="0" applyFont="1" applyFill="1" applyBorder="1" applyAlignment="1">
      <alignment horizontal="right" vertical="center"/>
    </xf>
    <xf numFmtId="0" fontId="4" fillId="0" borderId="0" xfId="2" applyFill="1" applyBorder="1" applyAlignment="1">
      <alignment horizontal="left" vertical="top"/>
    </xf>
    <xf numFmtId="0" fontId="4" fillId="0" borderId="0" xfId="2" applyFill="1" applyBorder="1" applyAlignment="1">
      <alignment horizontal="left" vertical="top" wrapText="1"/>
    </xf>
    <xf numFmtId="0" fontId="4" fillId="0" borderId="0" xfId="2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top" wrapText="1"/>
    </xf>
    <xf numFmtId="0" fontId="4" fillId="0" borderId="0" xfId="2" applyFill="1" applyBorder="1" applyAlignment="1">
      <alignment horizontal="left" wrapText="1"/>
    </xf>
    <xf numFmtId="3" fontId="10" fillId="0" borderId="5" xfId="2" applyNumberFormat="1" applyFont="1" applyFill="1" applyBorder="1" applyAlignment="1">
      <alignment horizontal="center" vertical="top" wrapText="1" shrinkToFit="1"/>
    </xf>
    <xf numFmtId="3" fontId="10" fillId="0" borderId="5" xfId="2" applyNumberFormat="1" applyFont="1" applyFill="1" applyBorder="1" applyAlignment="1">
      <alignment horizontal="center" vertical="top" shrinkToFit="1"/>
    </xf>
    <xf numFmtId="3" fontId="10" fillId="0" borderId="5" xfId="2" applyNumberFormat="1" applyFont="1" applyFill="1" applyBorder="1" applyAlignment="1">
      <alignment horizontal="right" vertical="top" indent="1" shrinkToFit="1"/>
    </xf>
    <xf numFmtId="0" fontId="11" fillId="0" borderId="5" xfId="2" applyFont="1" applyFill="1" applyBorder="1" applyAlignment="1">
      <alignment horizontal="center" vertical="top" wrapText="1"/>
    </xf>
    <xf numFmtId="3" fontId="10" fillId="0" borderId="7" xfId="2" applyNumberFormat="1" applyFont="1" applyFill="1" applyBorder="1" applyAlignment="1">
      <alignment horizontal="center" vertical="top" wrapText="1" shrinkToFit="1"/>
    </xf>
    <xf numFmtId="3" fontId="10" fillId="0" borderId="7" xfId="2" applyNumberFormat="1" applyFont="1" applyFill="1" applyBorder="1" applyAlignment="1">
      <alignment horizontal="center" vertical="top" shrinkToFit="1"/>
    </xf>
    <xf numFmtId="3" fontId="10" fillId="0" borderId="7" xfId="2" applyNumberFormat="1" applyFont="1" applyFill="1" applyBorder="1" applyAlignment="1">
      <alignment horizontal="right" vertical="top" indent="1" shrinkToFit="1"/>
    </xf>
    <xf numFmtId="0" fontId="11" fillId="0" borderId="7" xfId="2" applyFont="1" applyFill="1" applyBorder="1" applyAlignment="1">
      <alignment horizontal="center" vertical="top" wrapText="1"/>
    </xf>
    <xf numFmtId="1" fontId="10" fillId="0" borderId="5" xfId="2" applyNumberFormat="1" applyFont="1" applyFill="1" applyBorder="1" applyAlignment="1">
      <alignment horizontal="center" vertical="top" wrapText="1" shrinkToFit="1"/>
    </xf>
    <xf numFmtId="1" fontId="10" fillId="0" borderId="5" xfId="2" applyNumberFormat="1" applyFont="1" applyFill="1" applyBorder="1" applyAlignment="1">
      <alignment horizontal="center" vertical="top" shrinkToFit="1"/>
    </xf>
    <xf numFmtId="0" fontId="7" fillId="10" borderId="5" xfId="2" applyFont="1" applyFill="1" applyBorder="1" applyAlignment="1">
      <alignment horizontal="center" vertical="top" wrapText="1"/>
    </xf>
    <xf numFmtId="0" fontId="7" fillId="10" borderId="5" xfId="2" applyFont="1" applyFill="1" applyBorder="1" applyAlignment="1">
      <alignment horizontal="left" vertical="top" wrapText="1" indent="1"/>
    </xf>
    <xf numFmtId="0" fontId="7" fillId="10" borderId="5" xfId="2" applyFont="1" applyFill="1" applyBorder="1" applyAlignment="1">
      <alignment horizontal="center" vertical="center" wrapText="1"/>
    </xf>
    <xf numFmtId="0" fontId="7" fillId="10" borderId="5" xfId="2" applyFont="1" applyFill="1" applyBorder="1" applyAlignment="1">
      <alignment horizontal="left" vertical="top" wrapText="1" indent="2"/>
    </xf>
    <xf numFmtId="0" fontId="0" fillId="8" borderId="2" xfId="0" applyFill="1" applyBorder="1" applyAlignment="1">
      <alignment wrapText="1"/>
    </xf>
    <xf numFmtId="0" fontId="9" fillId="0" borderId="0" xfId="2" applyFont="1" applyFill="1" applyBorder="1" applyAlignment="1">
      <alignment vertical="top" wrapText="1"/>
    </xf>
    <xf numFmtId="0" fontId="4" fillId="0" borderId="0" xfId="2" applyFill="1" applyBorder="1" applyAlignment="1">
      <alignment wrapText="1"/>
    </xf>
    <xf numFmtId="165" fontId="6" fillId="0" borderId="0" xfId="2" applyNumberFormat="1" applyFont="1" applyFill="1" applyBorder="1" applyAlignment="1">
      <alignment vertical="top" shrinkToFit="1"/>
    </xf>
    <xf numFmtId="0" fontId="4" fillId="0" borderId="0" xfId="2" applyFill="1" applyBorder="1" applyAlignment="1">
      <alignment vertical="top" wrapText="1"/>
    </xf>
    <xf numFmtId="1" fontId="8" fillId="0" borderId="0" xfId="2" applyNumberFormat="1" applyFont="1" applyFill="1" applyBorder="1" applyAlignment="1">
      <alignment vertical="top" shrinkToFit="1"/>
    </xf>
    <xf numFmtId="0" fontId="5" fillId="0" borderId="0" xfId="2" applyFont="1" applyFill="1" applyBorder="1" applyAlignment="1">
      <alignment vertical="top" wrapText="1"/>
    </xf>
    <xf numFmtId="0" fontId="7" fillId="6" borderId="5" xfId="2" applyFont="1" applyFill="1" applyBorder="1" applyAlignment="1">
      <alignment horizontal="center" vertical="top" wrapText="1"/>
    </xf>
    <xf numFmtId="0" fontId="2" fillId="6" borderId="1" xfId="0" applyFont="1" applyFill="1" applyBorder="1" applyAlignment="1"/>
    <xf numFmtId="0" fontId="0" fillId="6" borderId="1" xfId="0" applyFill="1" applyBorder="1" applyAlignment="1">
      <alignment horizontal="left" indent="2"/>
    </xf>
    <xf numFmtId="49" fontId="0" fillId="6" borderId="1" xfId="0" applyNumberFormat="1" applyFill="1" applyBorder="1" applyAlignment="1">
      <alignment horizontal="left"/>
    </xf>
    <xf numFmtId="49" fontId="0" fillId="6" borderId="2" xfId="0" applyNumberFormat="1" applyFill="1" applyBorder="1" applyAlignment="1">
      <alignment horizontal="left"/>
    </xf>
    <xf numFmtId="0" fontId="0" fillId="6" borderId="2" xfId="0" applyFill="1" applyBorder="1" applyAlignment="1">
      <alignment horizontal="left" indent="3"/>
    </xf>
    <xf numFmtId="0" fontId="0" fillId="6" borderId="2" xfId="0" applyFill="1" applyBorder="1" applyAlignment="1">
      <alignment horizontal="left" indent="1"/>
    </xf>
    <xf numFmtId="0" fontId="0" fillId="7" borderId="2" xfId="0" applyFill="1" applyBorder="1" applyAlignment="1">
      <alignment horizontal="center"/>
    </xf>
    <xf numFmtId="0" fontId="0" fillId="6" borderId="2" xfId="0" applyFont="1" applyFill="1" applyBorder="1"/>
    <xf numFmtId="0" fontId="0" fillId="6" borderId="2" xfId="0" applyFill="1" applyBorder="1"/>
    <xf numFmtId="49" fontId="0" fillId="4" borderId="1" xfId="0" applyNumberFormat="1" applyFont="1" applyFill="1" applyBorder="1" applyAlignment="1">
      <alignment horizontal="right"/>
    </xf>
    <xf numFmtId="49" fontId="0" fillId="4" borderId="1" xfId="0" applyNumberFormat="1" applyFill="1" applyBorder="1"/>
    <xf numFmtId="0" fontId="0" fillId="5" borderId="1" xfId="0" applyFill="1" applyBorder="1"/>
    <xf numFmtId="0" fontId="0" fillId="4" borderId="2" xfId="0" applyFill="1" applyBorder="1" applyAlignment="1">
      <alignment horizontal="left" indent="2"/>
    </xf>
    <xf numFmtId="0" fontId="0" fillId="4" borderId="2" xfId="0" applyFill="1" applyBorder="1" applyAlignment="1">
      <alignment horizontal="center"/>
    </xf>
    <xf numFmtId="0" fontId="2" fillId="4" borderId="3" xfId="0" applyFont="1" applyFill="1" applyBorder="1" applyAlignment="1">
      <alignment horizontal="right" indent="1"/>
    </xf>
    <xf numFmtId="0" fontId="0" fillId="4" borderId="3" xfId="0" applyFill="1" applyBorder="1" applyAlignment="1">
      <alignment horizontal="left" indent="2"/>
    </xf>
    <xf numFmtId="0" fontId="0" fillId="4" borderId="3" xfId="0" applyFill="1" applyBorder="1" applyAlignment="1">
      <alignment horizontal="center"/>
    </xf>
    <xf numFmtId="0" fontId="0" fillId="4" borderId="3" xfId="0" applyFont="1" applyFill="1" applyBorder="1"/>
    <xf numFmtId="0" fontId="0" fillId="4" borderId="3" xfId="0" applyFill="1" applyBorder="1"/>
    <xf numFmtId="164" fontId="0" fillId="4" borderId="3" xfId="1" applyNumberFormat="1" applyFont="1" applyFill="1" applyBorder="1"/>
    <xf numFmtId="44" fontId="0" fillId="4" borderId="3" xfId="0" applyNumberFormat="1" applyFill="1" applyBorder="1"/>
    <xf numFmtId="0" fontId="7" fillId="0" borderId="9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>
      <alignment horizontal="right" vertical="top" indent="1" shrinkToFit="1"/>
    </xf>
    <xf numFmtId="42" fontId="6" fillId="6" borderId="9" xfId="2" applyNumberFormat="1" applyFont="1" applyFill="1" applyBorder="1" applyAlignment="1">
      <alignment horizontal="right" vertical="top" indent="1" shrinkToFit="1"/>
    </xf>
    <xf numFmtId="0" fontId="9" fillId="0" borderId="0" xfId="2" applyFont="1" applyFill="1" applyBorder="1" applyAlignment="1">
      <alignment horizontal="center" vertical="top" wrapText="1"/>
    </xf>
    <xf numFmtId="0" fontId="7" fillId="12" borderId="5" xfId="2" applyFont="1" applyFill="1" applyBorder="1" applyAlignment="1">
      <alignment horizontal="center" vertical="top" wrapText="1"/>
    </xf>
    <xf numFmtId="0" fontId="7" fillId="4" borderId="5" xfId="2" applyFont="1" applyFill="1" applyBorder="1" applyAlignment="1">
      <alignment horizontal="center" vertical="top" wrapText="1"/>
    </xf>
    <xf numFmtId="0" fontId="4" fillId="11" borderId="0" xfId="2" applyFill="1" applyBorder="1" applyAlignment="1">
      <alignment wrapText="1"/>
    </xf>
    <xf numFmtId="44" fontId="10" fillId="6" borderId="5" xfId="2" applyNumberFormat="1" applyFont="1" applyFill="1" applyBorder="1" applyAlignment="1">
      <alignment shrinkToFit="1"/>
    </xf>
    <xf numFmtId="44" fontId="10" fillId="3" borderId="8" xfId="2" applyNumberFormat="1" applyFont="1" applyFill="1" applyBorder="1" applyAlignment="1">
      <alignment shrinkToFit="1"/>
    </xf>
    <xf numFmtId="44" fontId="10" fillId="3" borderId="7" xfId="2" applyNumberFormat="1" applyFont="1" applyFill="1" applyBorder="1" applyAlignment="1">
      <alignment shrinkToFit="1"/>
    </xf>
    <xf numFmtId="49" fontId="2" fillId="8" borderId="1" xfId="0" applyNumberFormat="1" applyFont="1" applyFill="1" applyBorder="1"/>
    <xf numFmtId="0" fontId="2" fillId="8" borderId="1" xfId="0" applyFont="1" applyFill="1" applyBorder="1"/>
    <xf numFmtId="0" fontId="4" fillId="11" borderId="0" xfId="2" applyFill="1" applyBorder="1" applyAlignment="1">
      <alignment horizontal="left" vertical="top"/>
    </xf>
    <xf numFmtId="0" fontId="13" fillId="11" borderId="0" xfId="2" applyFont="1" applyFill="1" applyBorder="1" applyAlignment="1"/>
    <xf numFmtId="42" fontId="4" fillId="0" borderId="0" xfId="2" applyNumberFormat="1" applyFill="1" applyBorder="1" applyAlignment="1">
      <alignment horizontal="left" vertical="top"/>
    </xf>
    <xf numFmtId="42" fontId="4" fillId="0" borderId="0" xfId="2" applyNumberFormat="1" applyFill="1" applyBorder="1" applyAlignment="1">
      <alignment horizontal="left" wrapText="1"/>
    </xf>
    <xf numFmtId="42" fontId="10" fillId="6" borderId="5" xfId="2" applyNumberFormat="1" applyFont="1" applyFill="1" applyBorder="1" applyAlignment="1">
      <alignment shrinkToFit="1"/>
    </xf>
    <xf numFmtId="42" fontId="10" fillId="6" borderId="7" xfId="2" applyNumberFormat="1" applyFont="1" applyFill="1" applyBorder="1" applyAlignment="1">
      <alignment shrinkToFit="1"/>
    </xf>
    <xf numFmtId="41" fontId="10" fillId="12" borderId="5" xfId="2" applyNumberFormat="1" applyFont="1" applyFill="1" applyBorder="1" applyAlignment="1">
      <alignment shrinkToFit="1"/>
    </xf>
    <xf numFmtId="41" fontId="10" fillId="4" borderId="5" xfId="2" applyNumberFormat="1" applyFont="1" applyFill="1" applyBorder="1" applyAlignment="1">
      <alignment shrinkToFit="1"/>
    </xf>
    <xf numFmtId="41" fontId="10" fillId="12" borderId="7" xfId="2" applyNumberFormat="1" applyFont="1" applyFill="1" applyBorder="1" applyAlignment="1">
      <alignment shrinkToFit="1"/>
    </xf>
    <xf numFmtId="41" fontId="12" fillId="11" borderId="0" xfId="2" applyNumberFormat="1" applyFont="1" applyFill="1" applyBorder="1" applyAlignment="1"/>
    <xf numFmtId="41" fontId="4" fillId="11" borderId="0" xfId="2" applyNumberFormat="1" applyFill="1" applyBorder="1" applyAlignment="1">
      <alignment wrapText="1"/>
    </xf>
    <xf numFmtId="10" fontId="13" fillId="11" borderId="0" xfId="2" applyNumberFormat="1" applyFont="1" applyFill="1" applyBorder="1" applyAlignment="1"/>
    <xf numFmtId="42" fontId="14" fillId="0" borderId="0" xfId="2" applyNumberFormat="1" applyFont="1" applyFill="1" applyBorder="1" applyAlignment="1">
      <alignment horizontal="right" vertical="top" indent="1" shrinkToFit="1"/>
    </xf>
    <xf numFmtId="42" fontId="6" fillId="6" borderId="6" xfId="2" applyNumberFormat="1" applyFont="1" applyFill="1" applyBorder="1" applyAlignment="1">
      <alignment horizontal="right" vertical="top" indent="1" shrinkToFit="1"/>
    </xf>
    <xf numFmtId="3" fontId="10" fillId="0" borderId="12" xfId="2" applyNumberFormat="1" applyFont="1" applyFill="1" applyBorder="1" applyAlignment="1">
      <alignment horizontal="center" vertical="top" wrapText="1" shrinkToFit="1"/>
    </xf>
    <xf numFmtId="1" fontId="10" fillId="0" borderId="12" xfId="2" applyNumberFormat="1" applyFont="1" applyFill="1" applyBorder="1" applyAlignment="1">
      <alignment horizontal="center" vertical="top" wrapText="1" shrinkToFit="1"/>
    </xf>
    <xf numFmtId="3" fontId="10" fillId="0" borderId="13" xfId="2" applyNumberFormat="1" applyFont="1" applyFill="1" applyBorder="1" applyAlignment="1">
      <alignment horizontal="center" vertical="top" wrapText="1" shrinkToFit="1"/>
    </xf>
    <xf numFmtId="44" fontId="10" fillId="12" borderId="14" xfId="2" applyNumberFormat="1" applyFont="1" applyFill="1" applyBorder="1" applyAlignment="1">
      <alignment shrinkToFit="1"/>
    </xf>
    <xf numFmtId="0" fontId="7" fillId="10" borderId="12" xfId="2" applyFont="1" applyFill="1" applyBorder="1" applyAlignment="1">
      <alignment horizontal="center" vertical="center" wrapText="1"/>
    </xf>
    <xf numFmtId="0" fontId="7" fillId="12" borderId="14" xfId="2" applyFont="1" applyFill="1" applyBorder="1" applyAlignment="1">
      <alignment horizontal="center" vertical="top" wrapText="1"/>
    </xf>
    <xf numFmtId="0" fontId="7" fillId="6" borderId="1" xfId="2" applyFont="1" applyFill="1" applyBorder="1" applyAlignment="1">
      <alignment horizontal="center" vertical="top" wrapText="1"/>
    </xf>
    <xf numFmtId="0" fontId="4" fillId="6" borderId="1" xfId="2" applyFill="1" applyBorder="1" applyAlignment="1">
      <alignment horizontal="center" vertical="top" wrapText="1"/>
    </xf>
    <xf numFmtId="42" fontId="6" fillId="6" borderId="16" xfId="2" applyNumberFormat="1" applyFont="1" applyFill="1" applyBorder="1" applyAlignment="1">
      <alignment horizontal="right" vertical="top" indent="1" shrinkToFit="1"/>
    </xf>
    <xf numFmtId="44" fontId="10" fillId="12" borderId="17" xfId="2" applyNumberFormat="1" applyFont="1" applyFill="1" applyBorder="1" applyAlignment="1">
      <alignment shrinkToFit="1"/>
    </xf>
    <xf numFmtId="44" fontId="10" fillId="12" borderId="15" xfId="2" applyNumberFormat="1" applyFont="1" applyFill="1" applyBorder="1" applyAlignment="1">
      <alignment shrinkToFit="1"/>
    </xf>
    <xf numFmtId="0" fontId="7" fillId="0" borderId="0" xfId="2" applyFont="1" applyFill="1" applyBorder="1" applyAlignment="1">
      <alignment horizontal="left" vertical="top" wrapText="1"/>
    </xf>
    <xf numFmtId="42" fontId="15" fillId="3" borderId="3" xfId="2" applyNumberFormat="1" applyFont="1" applyFill="1" applyBorder="1" applyAlignment="1">
      <alignment horizontal="left" vertical="top"/>
    </xf>
    <xf numFmtId="42" fontId="6" fillId="12" borderId="3" xfId="2" applyNumberFormat="1" applyFont="1" applyFill="1" applyBorder="1" applyAlignment="1">
      <alignment horizontal="left" vertical="top" shrinkToFit="1"/>
    </xf>
    <xf numFmtId="42" fontId="4" fillId="11" borderId="0" xfId="2" applyNumberFormat="1" applyFill="1" applyBorder="1" applyAlignment="1">
      <alignment horizontal="left"/>
    </xf>
    <xf numFmtId="42" fontId="13" fillId="11" borderId="11" xfId="2" applyNumberFormat="1" applyFont="1" applyFill="1" applyBorder="1" applyAlignment="1">
      <alignment horizontal="right"/>
    </xf>
    <xf numFmtId="42" fontId="6" fillId="11" borderId="1" xfId="2" applyNumberFormat="1" applyFont="1" applyFill="1" applyBorder="1" applyAlignment="1">
      <alignment horizontal="left" vertical="top" shrinkToFit="1"/>
    </xf>
    <xf numFmtId="42" fontId="4" fillId="11" borderId="0" xfId="2" applyNumberFormat="1" applyFill="1" applyBorder="1" applyAlignment="1">
      <alignment horizontal="left" vertical="top"/>
    </xf>
    <xf numFmtId="42" fontId="6" fillId="11" borderId="2" xfId="2" applyNumberFormat="1" applyFont="1" applyFill="1" applyBorder="1" applyAlignment="1">
      <alignment horizontal="left" vertical="top" shrinkToFit="1"/>
    </xf>
    <xf numFmtId="44" fontId="4" fillId="0" borderId="0" xfId="2" applyNumberFormat="1" applyFill="1" applyBorder="1" applyAlignment="1">
      <alignment horizontal="left" vertical="top"/>
    </xf>
    <xf numFmtId="42" fontId="13" fillId="11" borderId="1" xfId="2" applyNumberFormat="1" applyFont="1" applyFill="1" applyBorder="1" applyAlignment="1">
      <alignment horizontal="right"/>
    </xf>
    <xf numFmtId="42" fontId="13" fillId="11" borderId="0" xfId="2" applyNumberFormat="1" applyFont="1" applyFill="1" applyBorder="1" applyAlignment="1">
      <alignment horizontal="right"/>
    </xf>
    <xf numFmtId="42" fontId="6" fillId="11" borderId="0" xfId="2" applyNumberFormat="1" applyFont="1" applyFill="1" applyBorder="1" applyAlignment="1">
      <alignment horizontal="left" vertical="top" shrinkToFit="1"/>
    </xf>
    <xf numFmtId="42" fontId="6" fillId="0" borderId="19" xfId="2" applyNumberFormat="1" applyFont="1" applyFill="1" applyBorder="1" applyAlignment="1">
      <alignment horizontal="left" vertical="top" shrinkToFit="1"/>
    </xf>
    <xf numFmtId="44" fontId="10" fillId="0" borderId="5" xfId="2" applyNumberFormat="1" applyFont="1" applyFill="1" applyBorder="1" applyAlignment="1">
      <alignment shrinkToFit="1"/>
    </xf>
    <xf numFmtId="42" fontId="6" fillId="0" borderId="20" xfId="2" applyNumberFormat="1" applyFont="1" applyFill="1" applyBorder="1" applyAlignment="1">
      <alignment horizontal="left" vertical="top" shrinkToFit="1"/>
    </xf>
    <xf numFmtId="0" fontId="11" fillId="0" borderId="0" xfId="2" applyFont="1" applyFill="1" applyBorder="1" applyAlignment="1">
      <alignment horizontal="left" vertical="top" wrapText="1"/>
    </xf>
    <xf numFmtId="165" fontId="10" fillId="0" borderId="0" xfId="2" applyNumberFormat="1" applyFont="1" applyFill="1" applyBorder="1" applyAlignment="1">
      <alignment vertical="top" shrinkToFit="1"/>
    </xf>
    <xf numFmtId="0" fontId="11" fillId="0" borderId="0" xfId="2" applyFont="1" applyFill="1" applyBorder="1" applyAlignment="1">
      <alignment horizontal="left" vertical="top"/>
    </xf>
    <xf numFmtId="42" fontId="11" fillId="0" borderId="0" xfId="2" applyNumberFormat="1" applyFont="1" applyFill="1" applyBorder="1" applyAlignment="1">
      <alignment horizontal="left" vertical="top" wrapText="1"/>
    </xf>
    <xf numFmtId="42" fontId="10" fillId="0" borderId="0" xfId="2" applyNumberFormat="1" applyFont="1" applyFill="1" applyBorder="1" applyAlignment="1">
      <alignment vertical="top" shrinkToFit="1"/>
    </xf>
    <xf numFmtId="42" fontId="11" fillId="0" borderId="0" xfId="2" applyNumberFormat="1" applyFont="1" applyFill="1" applyBorder="1" applyAlignment="1">
      <alignment horizontal="center" vertical="top" wrapText="1"/>
    </xf>
    <xf numFmtId="44" fontId="10" fillId="0" borderId="7" xfId="2" applyNumberFormat="1" applyFont="1" applyFill="1" applyBorder="1" applyAlignment="1">
      <alignment shrinkToFit="1"/>
    </xf>
    <xf numFmtId="42" fontId="6" fillId="12" borderId="9" xfId="2" applyNumberFormat="1" applyFont="1" applyFill="1" applyBorder="1" applyAlignment="1">
      <alignment horizontal="left" vertical="top" indent="1" shrinkToFit="1"/>
    </xf>
    <xf numFmtId="42" fontId="6" fillId="4" borderId="9" xfId="2" applyNumberFormat="1" applyFont="1" applyFill="1" applyBorder="1" applyAlignment="1">
      <alignment horizontal="left" vertical="top" indent="1" shrinkToFit="1"/>
    </xf>
    <xf numFmtId="42" fontId="6" fillId="0" borderId="6" xfId="2" applyNumberFormat="1" applyFont="1" applyFill="1" applyBorder="1" applyAlignment="1">
      <alignment horizontal="left" vertical="top" indent="1" shrinkToFit="1"/>
    </xf>
    <xf numFmtId="42" fontId="6" fillId="3" borderId="1" xfId="2" applyNumberFormat="1" applyFont="1" applyFill="1" applyBorder="1" applyAlignment="1">
      <alignment horizontal="left" vertical="top" shrinkToFit="1"/>
    </xf>
    <xf numFmtId="0" fontId="4" fillId="3" borderId="0" xfId="2" applyFill="1" applyBorder="1" applyAlignment="1">
      <alignment horizontal="left" vertical="top"/>
    </xf>
    <xf numFmtId="0" fontId="11" fillId="3" borderId="0" xfId="2" applyFont="1" applyFill="1" applyBorder="1" applyAlignment="1">
      <alignment horizontal="left" vertical="top" wrapText="1"/>
    </xf>
    <xf numFmtId="0" fontId="4" fillId="3" borderId="0" xfId="2" applyFill="1" applyBorder="1" applyAlignment="1">
      <alignment horizontal="left" wrapText="1"/>
    </xf>
    <xf numFmtId="42" fontId="6" fillId="3" borderId="3" xfId="2" applyNumberFormat="1" applyFont="1" applyFill="1" applyBorder="1" applyAlignment="1">
      <alignment horizontal="left" vertical="top" shrinkToFit="1"/>
    </xf>
    <xf numFmtId="42" fontId="6" fillId="3" borderId="2" xfId="2" applyNumberFormat="1" applyFont="1" applyFill="1" applyBorder="1" applyAlignment="1">
      <alignment horizontal="left" vertical="top" shrinkToFit="1"/>
    </xf>
    <xf numFmtId="0" fontId="4" fillId="3" borderId="2" xfId="2" applyFill="1" applyBorder="1" applyAlignment="1">
      <alignment horizontal="left" vertical="top"/>
    </xf>
    <xf numFmtId="0" fontId="16" fillId="0" borderId="0" xfId="2" applyFont="1" applyFill="1" applyBorder="1" applyAlignment="1">
      <alignment horizontal="left" vertical="top"/>
    </xf>
    <xf numFmtId="0" fontId="17" fillId="0" borderId="0" xfId="2" applyFont="1" applyFill="1" applyBorder="1" applyAlignment="1">
      <alignment horizontal="left" vertical="top"/>
    </xf>
    <xf numFmtId="42" fontId="6" fillId="11" borderId="3" xfId="2" applyNumberFormat="1" applyFont="1" applyFill="1" applyBorder="1" applyAlignment="1">
      <alignment horizontal="left" vertical="top" shrinkToFit="1"/>
    </xf>
    <xf numFmtId="0" fontId="7" fillId="6" borderId="11" xfId="2" applyFont="1" applyFill="1" applyBorder="1" applyAlignment="1">
      <alignment horizontal="center" vertical="top" wrapText="1"/>
    </xf>
    <xf numFmtId="42" fontId="10" fillId="6" borderId="12" xfId="2" applyNumberFormat="1" applyFont="1" applyFill="1" applyBorder="1" applyAlignment="1">
      <alignment shrinkToFit="1"/>
    </xf>
    <xf numFmtId="0" fontId="7" fillId="10" borderId="14" xfId="2" applyFont="1" applyFill="1" applyBorder="1" applyAlignment="1">
      <alignment horizontal="center" vertical="top" wrapText="1"/>
    </xf>
    <xf numFmtId="44" fontId="10" fillId="0" borderId="14" xfId="2" applyNumberFormat="1" applyFont="1" applyFill="1" applyBorder="1" applyAlignment="1">
      <alignment shrinkToFit="1"/>
    </xf>
    <xf numFmtId="42" fontId="6" fillId="0" borderId="21" xfId="2" applyNumberFormat="1" applyFont="1" applyFill="1" applyBorder="1" applyAlignment="1">
      <alignment horizontal="left" vertical="top" shrinkToFit="1"/>
    </xf>
    <xf numFmtId="0" fontId="7" fillId="12" borderId="1" xfId="2" applyFont="1" applyFill="1" applyBorder="1" applyAlignment="1">
      <alignment horizontal="center" vertical="top" wrapText="1"/>
    </xf>
    <xf numFmtId="44" fontId="10" fillId="12" borderId="1" xfId="2" applyNumberFormat="1" applyFont="1" applyFill="1" applyBorder="1" applyAlignment="1">
      <alignment shrinkToFit="1"/>
    </xf>
    <xf numFmtId="44" fontId="10" fillId="12" borderId="2" xfId="2" applyNumberFormat="1" applyFont="1" applyFill="1" applyBorder="1" applyAlignment="1">
      <alignment shrinkToFit="1"/>
    </xf>
    <xf numFmtId="49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16" fontId="0" fillId="8" borderId="2" xfId="0" applyNumberFormat="1" applyFill="1" applyBorder="1" applyAlignment="1">
      <alignment horizontal="center" vertical="center"/>
    </xf>
    <xf numFmtId="164" fontId="0" fillId="8" borderId="2" xfId="1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164" fontId="0" fillId="0" borderId="3" xfId="0" applyNumberFormat="1" applyBorder="1"/>
    <xf numFmtId="49" fontId="0" fillId="6" borderId="18" xfId="0" applyNumberFormat="1" applyFill="1" applyBorder="1"/>
    <xf numFmtId="0" fontId="2" fillId="6" borderId="18" xfId="0" applyFont="1" applyFill="1" applyBorder="1" applyAlignment="1">
      <alignment horizontal="right" indent="1"/>
    </xf>
    <xf numFmtId="0" fontId="0" fillId="6" borderId="18" xfId="0" applyFill="1" applyBorder="1"/>
    <xf numFmtId="0" fontId="0" fillId="6" borderId="18" xfId="0" applyFill="1" applyBorder="1" applyAlignment="1">
      <alignment horizontal="center"/>
    </xf>
    <xf numFmtId="164" fontId="0" fillId="6" borderId="4" xfId="1" applyNumberFormat="1" applyFont="1" applyFill="1" applyBorder="1"/>
    <xf numFmtId="164" fontId="0" fillId="6" borderId="22" xfId="1" applyNumberFormat="1" applyFont="1" applyFill="1" applyBorder="1"/>
    <xf numFmtId="42" fontId="10" fillId="3" borderId="8" xfId="2" applyNumberFormat="1" applyFont="1" applyFill="1" applyBorder="1" applyAlignment="1">
      <alignment horizontal="left" vertical="top" shrinkToFit="1"/>
    </xf>
    <xf numFmtId="42" fontId="10" fillId="3" borderId="7" xfId="2" applyNumberFormat="1" applyFont="1" applyFill="1" applyBorder="1" applyAlignment="1">
      <alignment horizontal="left" vertical="top" shrinkToFit="1"/>
    </xf>
    <xf numFmtId="42" fontId="6" fillId="0" borderId="6" xfId="2" applyNumberFormat="1" applyFont="1" applyFill="1" applyBorder="1" applyAlignment="1">
      <alignment vertical="top" shrinkToFit="1"/>
    </xf>
    <xf numFmtId="10" fontId="15" fillId="3" borderId="1" xfId="2" applyNumberFormat="1" applyFont="1" applyFill="1" applyBorder="1" applyAlignment="1">
      <alignment horizontal="center"/>
    </xf>
    <xf numFmtId="0" fontId="15" fillId="3" borderId="2" xfId="2" applyFont="1" applyFill="1" applyBorder="1" applyAlignment="1">
      <alignment horizont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top" wrapText="1"/>
    </xf>
    <xf numFmtId="0" fontId="11" fillId="3" borderId="5" xfId="2" applyFont="1" applyFill="1" applyBorder="1" applyAlignment="1">
      <alignment horizontal="center" vertical="top" wrapText="1"/>
    </xf>
    <xf numFmtId="0" fontId="11" fillId="3" borderId="7" xfId="2" applyFont="1" applyFill="1" applyBorder="1" applyAlignment="1">
      <alignment horizontal="center" vertical="top" wrapText="1"/>
    </xf>
    <xf numFmtId="0" fontId="7" fillId="3" borderId="10" xfId="2" applyFont="1" applyFill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GSA Cost Allocations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Comparison!$B$2</c:f>
              <c:strCache>
                <c:ptCount val="1"/>
                <c:pt idx="0">
                  <c:v>Yearly Cost Allocation 
50/50, Even Split, Eastside Adjust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Comparison!$B$3:$B$18</c:f>
              <c:numCache>
                <c:formatCode>_("$"* #,##0.00_);_("$"* \(#,##0.00\);_("$"* "-"??_);_(@_)</c:formatCode>
                <c:ptCount val="16"/>
                <c:pt idx="0">
                  <c:v>24376.508271498678</c:v>
                </c:pt>
                <c:pt idx="1">
                  <c:v>54954.669831017032</c:v>
                </c:pt>
                <c:pt idx="2">
                  <c:v>45790.884412614942</c:v>
                </c:pt>
                <c:pt idx="3">
                  <c:v>22478.080516233291</c:v>
                </c:pt>
                <c:pt idx="4">
                  <c:v>22703.183443276361</c:v>
                </c:pt>
                <c:pt idx="5">
                  <c:v>42208.91792664813</c:v>
                </c:pt>
                <c:pt idx="6">
                  <c:v>45007.673131301599</c:v>
                </c:pt>
                <c:pt idx="7">
                  <c:v>60710.53466167079</c:v>
                </c:pt>
                <c:pt idx="8">
                  <c:v>31188.518965917658</c:v>
                </c:pt>
                <c:pt idx="9">
                  <c:v>24879.735743513596</c:v>
                </c:pt>
                <c:pt idx="10">
                  <c:v>70570.722032828926</c:v>
                </c:pt>
                <c:pt idx="11">
                  <c:v>43277.791834073629</c:v>
                </c:pt>
                <c:pt idx="12">
                  <c:v>35355.614388036651</c:v>
                </c:pt>
                <c:pt idx="13">
                  <c:v>46361.140886705361</c:v>
                </c:pt>
                <c:pt idx="14">
                  <c:v>108928.08987675699</c:v>
                </c:pt>
                <c:pt idx="15">
                  <c:v>31207.934077906397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6-439B-AB70-7F204B290FA1}"/>
            </c:ext>
          </c:extLst>
        </c:ser>
        <c:ser>
          <c:idx val="1"/>
          <c:order val="1"/>
          <c:tx>
            <c:strRef>
              <c:f>Comparison!$C$2</c:f>
              <c:strCache>
                <c:ptCount val="1"/>
                <c:pt idx="0">
                  <c:v>Yearly Cost Allocation
50/50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Comparison!$C$3:$C$18</c:f>
              <c:numCache>
                <c:formatCode>_("$"* #,##0.00_);_("$"* \(#,##0.00\);_("$"* "-"??_);_(@_)</c:formatCode>
                <c:ptCount val="16"/>
                <c:pt idx="0">
                  <c:v>5136.2476384455495</c:v>
                </c:pt>
                <c:pt idx="1">
                  <c:v>70168.67574390005</c:v>
                </c:pt>
                <c:pt idx="2">
                  <c:v>42987.479525420502</c:v>
                </c:pt>
                <c:pt idx="3">
                  <c:v>1098.7463561205716</c:v>
                </c:pt>
                <c:pt idx="4">
                  <c:v>1577.486384057242</c:v>
                </c:pt>
                <c:pt idx="5">
                  <c:v>43061.513243059169</c:v>
                </c:pt>
                <c:pt idx="6">
                  <c:v>49013.795438871472</c:v>
                </c:pt>
                <c:pt idx="7">
                  <c:v>82410.022073881992</c:v>
                </c:pt>
                <c:pt idx="8">
                  <c:v>19623.763340660553</c:v>
                </c:pt>
                <c:pt idx="9">
                  <c:v>6206.4919803364328</c:v>
                </c:pt>
                <c:pt idx="10">
                  <c:v>103380.27972240142</c:v>
                </c:pt>
                <c:pt idx="11">
                  <c:v>45334.752116597898</c:v>
                </c:pt>
                <c:pt idx="12">
                  <c:v>28486.177548265729</c:v>
                </c:pt>
                <c:pt idx="13">
                  <c:v>51892.29728487102</c:v>
                </c:pt>
                <c:pt idx="14">
                  <c:v>184957.21696793858</c:v>
                </c:pt>
                <c:pt idx="15">
                  <c:v>19665.054635171826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6-439B-AB70-7F204B290FA1}"/>
            </c:ext>
          </c:extLst>
        </c:ser>
        <c:ser>
          <c:idx val="2"/>
          <c:order val="2"/>
          <c:tx>
            <c:strRef>
              <c:f>Comparison!$D$2</c:f>
              <c:strCache>
                <c:ptCount val="1"/>
                <c:pt idx="0">
                  <c:v>Yearly Cost Allocation 
Even Split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Comparison!$D$3:$D$18</c:f>
              <c:numCache>
                <c:formatCode>_("$"* #,##0.00_);_("$"* \(#,##0.00\);_("$"* "-"??_);_(@_)</c:formatCode>
                <c:ptCount val="16"/>
                <c:pt idx="0">
                  <c:v>46760.833333333336</c:v>
                </c:pt>
                <c:pt idx="1">
                  <c:v>46760.833333333336</c:v>
                </c:pt>
                <c:pt idx="2">
                  <c:v>53587.5</c:v>
                </c:pt>
                <c:pt idx="3">
                  <c:v>46760.833333333336</c:v>
                </c:pt>
                <c:pt idx="4">
                  <c:v>46760.833333333336</c:v>
                </c:pt>
                <c:pt idx="5">
                  <c:v>46760.833333333336</c:v>
                </c:pt>
                <c:pt idx="6">
                  <c:v>46760.833333333336</c:v>
                </c:pt>
                <c:pt idx="7">
                  <c:v>46760.833333333336</c:v>
                </c:pt>
                <c:pt idx="8">
                  <c:v>46760.833333333336</c:v>
                </c:pt>
                <c:pt idx="9">
                  <c:v>46760.833333333336</c:v>
                </c:pt>
                <c:pt idx="10">
                  <c:v>46760.833333333336</c:v>
                </c:pt>
                <c:pt idx="11">
                  <c:v>46760.833333333336</c:v>
                </c:pt>
                <c:pt idx="12">
                  <c:v>46760.833333333336</c:v>
                </c:pt>
                <c:pt idx="13">
                  <c:v>46760.833333333336</c:v>
                </c:pt>
                <c:pt idx="14">
                  <c:v>46760.833333333336</c:v>
                </c:pt>
                <c:pt idx="15">
                  <c:v>46760.833333333336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6-439B-AB70-7F204B29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164616"/>
        <c:axId val="452165928"/>
      </c:barChart>
      <c:catAx>
        <c:axId val="45216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65928"/>
        <c:crosses val="autoZero"/>
        <c:auto val="1"/>
        <c:lblAlgn val="ctr"/>
        <c:lblOffset val="100"/>
        <c:noMultiLvlLbl val="0"/>
      </c:catAx>
      <c:valAx>
        <c:axId val="45216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6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Cost Allocation 
50/50, Even Split, Eastside Adj</a:t>
            </a:r>
          </a:p>
        </c:rich>
      </c:tx>
      <c:layout>
        <c:manualLayout>
          <c:xMode val="edge"/>
          <c:yMode val="edge"/>
          <c:x val="0.2863469697866714"/>
          <c:y val="9.97506234413965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Comparison!$B$2</c:f>
              <c:strCache>
                <c:ptCount val="1"/>
                <c:pt idx="0">
                  <c:v>Yearly Cost Allocation 
50/50, Even Split, Eastside Adjust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4E-44CC-B9E3-E353859729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4E-44CC-B9E3-E353859729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4E-44CC-B9E3-E353859729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4E-44CC-B9E3-E353859729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4E-44CC-B9E3-E353859729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4E-44CC-B9E3-E353859729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4E-44CC-B9E3-E353859729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34E-44CC-B9E3-E3538597294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34E-44CC-B9E3-E353859729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34E-44CC-B9E3-E3538597294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34E-44CC-B9E3-E3538597294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34E-44CC-B9E3-E3538597294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34E-44CC-B9E3-E3538597294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34E-44CC-B9E3-E3538597294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34E-44CC-B9E3-E3538597294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34E-44CC-B9E3-E35385972947}"/>
              </c:ext>
            </c:extLst>
          </c:dPt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Comparison!$B$3:$B$18</c:f>
              <c:numCache>
                <c:formatCode>_("$"* #,##0.00_);_("$"* \(#,##0.00\);_("$"* "-"??_);_(@_)</c:formatCode>
                <c:ptCount val="16"/>
                <c:pt idx="0">
                  <c:v>24376.508271498678</c:v>
                </c:pt>
                <c:pt idx="1">
                  <c:v>54954.669831017032</c:v>
                </c:pt>
                <c:pt idx="2">
                  <c:v>45790.884412614942</c:v>
                </c:pt>
                <c:pt idx="3">
                  <c:v>22478.080516233291</c:v>
                </c:pt>
                <c:pt idx="4">
                  <c:v>22703.183443276361</c:v>
                </c:pt>
                <c:pt idx="5">
                  <c:v>42208.91792664813</c:v>
                </c:pt>
                <c:pt idx="6">
                  <c:v>45007.673131301599</c:v>
                </c:pt>
                <c:pt idx="7">
                  <c:v>60710.53466167079</c:v>
                </c:pt>
                <c:pt idx="8">
                  <c:v>31188.518965917658</c:v>
                </c:pt>
                <c:pt idx="9">
                  <c:v>24879.735743513596</c:v>
                </c:pt>
                <c:pt idx="10">
                  <c:v>70570.722032828926</c:v>
                </c:pt>
                <c:pt idx="11">
                  <c:v>43277.791834073629</c:v>
                </c:pt>
                <c:pt idx="12">
                  <c:v>35355.614388036651</c:v>
                </c:pt>
                <c:pt idx="13">
                  <c:v>46361.140886705361</c:v>
                </c:pt>
                <c:pt idx="14">
                  <c:v>108928.08987675699</c:v>
                </c:pt>
                <c:pt idx="15">
                  <c:v>31207.934077906397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9-467C-93A6-23988950E86F}"/>
            </c:ext>
          </c:extLst>
        </c:ser>
        <c:ser>
          <c:idx val="1"/>
          <c:order val="1"/>
          <c:tx>
            <c:strRef>
              <c:f>Comparison!$C$2</c:f>
              <c:strCache>
                <c:ptCount val="1"/>
                <c:pt idx="0">
                  <c:v>Yearly Cost Allocation
50/50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34E-44CC-B9E3-E353859729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34E-44CC-B9E3-E353859729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34E-44CC-B9E3-E353859729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34E-44CC-B9E3-E353859729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34E-44CC-B9E3-E353859729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34E-44CC-B9E3-E353859729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34E-44CC-B9E3-E353859729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34E-44CC-B9E3-E3538597294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34E-44CC-B9E3-E353859729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34E-44CC-B9E3-E3538597294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34E-44CC-B9E3-E3538597294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34E-44CC-B9E3-E3538597294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34E-44CC-B9E3-E3538597294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34E-44CC-B9E3-E3538597294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34E-44CC-B9E3-E3538597294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34E-44CC-B9E3-E35385972947}"/>
              </c:ext>
            </c:extLst>
          </c:dPt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Comparison!$C$3:$C$18</c:f>
              <c:numCache>
                <c:formatCode>_("$"* #,##0.00_);_("$"* \(#,##0.00\);_("$"* "-"??_);_(@_)</c:formatCode>
                <c:ptCount val="16"/>
                <c:pt idx="0">
                  <c:v>5136.2476384455495</c:v>
                </c:pt>
                <c:pt idx="1">
                  <c:v>70168.67574390005</c:v>
                </c:pt>
                <c:pt idx="2">
                  <c:v>42987.479525420502</c:v>
                </c:pt>
                <c:pt idx="3">
                  <c:v>1098.7463561205716</c:v>
                </c:pt>
                <c:pt idx="4">
                  <c:v>1577.486384057242</c:v>
                </c:pt>
                <c:pt idx="5">
                  <c:v>43061.513243059169</c:v>
                </c:pt>
                <c:pt idx="6">
                  <c:v>49013.795438871472</c:v>
                </c:pt>
                <c:pt idx="7">
                  <c:v>82410.022073881992</c:v>
                </c:pt>
                <c:pt idx="8">
                  <c:v>19623.763340660553</c:v>
                </c:pt>
                <c:pt idx="9">
                  <c:v>6206.4919803364328</c:v>
                </c:pt>
                <c:pt idx="10">
                  <c:v>103380.27972240142</c:v>
                </c:pt>
                <c:pt idx="11">
                  <c:v>45334.752116597898</c:v>
                </c:pt>
                <c:pt idx="12">
                  <c:v>28486.177548265729</c:v>
                </c:pt>
                <c:pt idx="13">
                  <c:v>51892.29728487102</c:v>
                </c:pt>
                <c:pt idx="14">
                  <c:v>184957.21696793858</c:v>
                </c:pt>
                <c:pt idx="15">
                  <c:v>19665.054635171826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9-467C-93A6-23988950E86F}"/>
            </c:ext>
          </c:extLst>
        </c:ser>
        <c:ser>
          <c:idx val="2"/>
          <c:order val="2"/>
          <c:tx>
            <c:strRef>
              <c:f>Comparison!$D$2</c:f>
              <c:strCache>
                <c:ptCount val="1"/>
                <c:pt idx="0">
                  <c:v>Yearly Cost Allocation 
Even Split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034E-44CC-B9E3-E353859729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034E-44CC-B9E3-E353859729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034E-44CC-B9E3-E353859729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034E-44CC-B9E3-E353859729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034E-44CC-B9E3-E353859729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034E-44CC-B9E3-E353859729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034E-44CC-B9E3-E353859729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034E-44CC-B9E3-E3538597294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034E-44CC-B9E3-E353859729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034E-44CC-B9E3-E3538597294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034E-44CC-B9E3-E3538597294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034E-44CC-B9E3-E3538597294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034E-44CC-B9E3-E3538597294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034E-44CC-B9E3-E3538597294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034E-44CC-B9E3-E3538597294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034E-44CC-B9E3-E35385972947}"/>
              </c:ext>
            </c:extLst>
          </c:dPt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Comparison!$D$3:$D$18</c:f>
              <c:numCache>
                <c:formatCode>_("$"* #,##0.00_);_("$"* \(#,##0.00\);_("$"* "-"??_);_(@_)</c:formatCode>
                <c:ptCount val="16"/>
                <c:pt idx="0">
                  <c:v>46760.833333333336</c:v>
                </c:pt>
                <c:pt idx="1">
                  <c:v>46760.833333333336</c:v>
                </c:pt>
                <c:pt idx="2">
                  <c:v>53587.5</c:v>
                </c:pt>
                <c:pt idx="3">
                  <c:v>46760.833333333336</c:v>
                </c:pt>
                <c:pt idx="4">
                  <c:v>46760.833333333336</c:v>
                </c:pt>
                <c:pt idx="5">
                  <c:v>46760.833333333336</c:v>
                </c:pt>
                <c:pt idx="6">
                  <c:v>46760.833333333336</c:v>
                </c:pt>
                <c:pt idx="7">
                  <c:v>46760.833333333336</c:v>
                </c:pt>
                <c:pt idx="8">
                  <c:v>46760.833333333336</c:v>
                </c:pt>
                <c:pt idx="9">
                  <c:v>46760.833333333336</c:v>
                </c:pt>
                <c:pt idx="10">
                  <c:v>46760.833333333336</c:v>
                </c:pt>
                <c:pt idx="11">
                  <c:v>46760.833333333336</c:v>
                </c:pt>
                <c:pt idx="12">
                  <c:v>46760.833333333336</c:v>
                </c:pt>
                <c:pt idx="13">
                  <c:v>46760.833333333336</c:v>
                </c:pt>
                <c:pt idx="14">
                  <c:v>46760.833333333336</c:v>
                </c:pt>
                <c:pt idx="15">
                  <c:v>46760.833333333336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9-467C-93A6-23988950E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269117676079945E-2"/>
          <c:y val="0.74397182895778924"/>
          <c:w val="0.88493043632703805"/>
          <c:h val="0.21945294244703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Cost Allocation
50/50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Comparison!$C$2</c:f>
              <c:strCache>
                <c:ptCount val="1"/>
                <c:pt idx="0">
                  <c:v>Yearly Cost Allocation
50/50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DD-47D7-9B49-CCAA16539D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DD-47D7-9B49-CCAA16539D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DD-47D7-9B49-CCAA16539D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DD-47D7-9B49-CCAA16539D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DD-47D7-9B49-CCAA16539D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DD-47D7-9B49-CCAA16539D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DD-47D7-9B49-CCAA16539D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ADD-47D7-9B49-CCAA16539D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ADD-47D7-9B49-CCAA16539D7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ADD-47D7-9B49-CCAA16539D7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ADD-47D7-9B49-CCAA16539D7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ADD-47D7-9B49-CCAA16539D7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ADD-47D7-9B49-CCAA16539D7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ADD-47D7-9B49-CCAA16539D7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ADD-47D7-9B49-CCAA16539D7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ADD-47D7-9B49-CCAA16539D7B}"/>
              </c:ext>
            </c:extLst>
          </c:dPt>
          <c:cat>
            <c:strRef>
              <c:f>Comparison!$A$3:$A$18</c:f>
              <c:strCache>
                <c:ptCount val="16"/>
                <c:pt idx="0">
                  <c:v>CDWA</c:v>
                </c:pt>
                <c:pt idx="1">
                  <c:v>CSJWCD</c:v>
                </c:pt>
                <c:pt idx="2">
                  <c:v>Eastside SJ GSA</c:v>
                </c:pt>
                <c:pt idx="3">
                  <c:v>LCSD</c:v>
                </c:pt>
                <c:pt idx="4">
                  <c:v>LCWD</c:v>
                </c:pt>
                <c:pt idx="5">
                  <c:v>Lodi</c:v>
                </c:pt>
                <c:pt idx="6">
                  <c:v>Manteca</c:v>
                </c:pt>
                <c:pt idx="7">
                  <c:v>NSJWCD</c:v>
                </c:pt>
                <c:pt idx="8">
                  <c:v>OID</c:v>
                </c:pt>
                <c:pt idx="9">
                  <c:v>SDWA</c:v>
                </c:pt>
                <c:pt idx="10">
                  <c:v>SEWD</c:v>
                </c:pt>
                <c:pt idx="11">
                  <c:v>SJC #1</c:v>
                </c:pt>
                <c:pt idx="12">
                  <c:v>SJC #2</c:v>
                </c:pt>
                <c:pt idx="13">
                  <c:v>SSJ GSA</c:v>
                </c:pt>
                <c:pt idx="14">
                  <c:v>Stockton</c:v>
                </c:pt>
                <c:pt idx="15">
                  <c:v>WID GSA</c:v>
                </c:pt>
              </c:strCache>
            </c:strRef>
          </c:cat>
          <c:val>
            <c:numRef>
              <c:f>Comparison!$C$3:$C$18</c:f>
              <c:numCache>
                <c:formatCode>_("$"* #,##0.00_);_("$"* \(#,##0.00\);_("$"* "-"??_);_(@_)</c:formatCode>
                <c:ptCount val="16"/>
                <c:pt idx="0">
                  <c:v>5136.2476384455495</c:v>
                </c:pt>
                <c:pt idx="1">
                  <c:v>70168.67574390005</c:v>
                </c:pt>
                <c:pt idx="2">
                  <c:v>42987.479525420502</c:v>
                </c:pt>
                <c:pt idx="3">
                  <c:v>1098.7463561205716</c:v>
                </c:pt>
                <c:pt idx="4">
                  <c:v>1577.486384057242</c:v>
                </c:pt>
                <c:pt idx="5">
                  <c:v>43061.513243059169</c:v>
                </c:pt>
                <c:pt idx="6">
                  <c:v>49013.795438871472</c:v>
                </c:pt>
                <c:pt idx="7">
                  <c:v>82410.022073881992</c:v>
                </c:pt>
                <c:pt idx="8">
                  <c:v>19623.763340660553</c:v>
                </c:pt>
                <c:pt idx="9">
                  <c:v>6206.4919803364328</c:v>
                </c:pt>
                <c:pt idx="10">
                  <c:v>103380.27972240142</c:v>
                </c:pt>
                <c:pt idx="11">
                  <c:v>45334.752116597898</c:v>
                </c:pt>
                <c:pt idx="12">
                  <c:v>28486.177548265729</c:v>
                </c:pt>
                <c:pt idx="13">
                  <c:v>51892.29728487102</c:v>
                </c:pt>
                <c:pt idx="14">
                  <c:v>184957.21696793858</c:v>
                </c:pt>
                <c:pt idx="15">
                  <c:v>19665.054635171826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0CA-8B94-4836D539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46337529726592"/>
          <c:y val="0.76470433842828467"/>
          <c:w val="0.76474166756552686"/>
          <c:h val="0.21568781843446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</xdr:colOff>
      <xdr:row>2</xdr:row>
      <xdr:rowOff>314326</xdr:rowOff>
    </xdr:from>
    <xdr:to>
      <xdr:col>14</xdr:col>
      <xdr:colOff>28575</xdr:colOff>
      <xdr:row>19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24</xdr:row>
      <xdr:rowOff>114299</xdr:rowOff>
    </xdr:from>
    <xdr:to>
      <xdr:col>5</xdr:col>
      <xdr:colOff>95250</xdr:colOff>
      <xdr:row>44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247649</xdr:colOff>
      <xdr:row>24</xdr:row>
      <xdr:rowOff>76200</xdr:rowOff>
    </xdr:from>
    <xdr:to>
      <xdr:col>14</xdr:col>
      <xdr:colOff>409575</xdr:colOff>
      <xdr:row>44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7"/>
  <sheetViews>
    <sheetView tabSelected="1" topLeftCell="A16" workbookViewId="0">
      <selection activeCell="Q25" sqref="Q25"/>
    </sheetView>
  </sheetViews>
  <sheetFormatPr defaultRowHeight="15"/>
  <cols>
    <col min="3" max="3" width="3.85546875" bestFit="1" customWidth="1"/>
    <col min="4" max="4" width="40" bestFit="1" customWidth="1"/>
    <col min="5" max="12" width="0" hidden="1" customWidth="1"/>
    <col min="13" max="13" width="14.5703125" bestFit="1" customWidth="1"/>
    <col min="14" max="14" width="14.5703125" hidden="1" customWidth="1"/>
    <col min="15" max="15" width="41.28515625" customWidth="1"/>
  </cols>
  <sheetData>
    <row r="1" spans="3:15" ht="21">
      <c r="C1" s="70" t="s">
        <v>167</v>
      </c>
    </row>
    <row r="2" spans="3:15">
      <c r="C2" s="131" t="s">
        <v>0</v>
      </c>
      <c r="D2" s="132" t="s">
        <v>162</v>
      </c>
      <c r="E2" s="44" t="s">
        <v>1</v>
      </c>
      <c r="F2" s="44" t="s">
        <v>2</v>
      </c>
      <c r="G2" s="44" t="s">
        <v>3</v>
      </c>
      <c r="H2" s="44" t="s">
        <v>4</v>
      </c>
      <c r="I2" s="44" t="s">
        <v>5</v>
      </c>
      <c r="J2" s="44" t="s">
        <v>6</v>
      </c>
      <c r="K2" s="44" t="s">
        <v>7</v>
      </c>
      <c r="L2" s="44" t="s">
        <v>8</v>
      </c>
      <c r="M2" s="45" t="s">
        <v>9</v>
      </c>
      <c r="N2" s="45"/>
      <c r="O2" s="44" t="s">
        <v>10</v>
      </c>
    </row>
    <row r="3" spans="3:15">
      <c r="C3" s="46" t="s">
        <v>11</v>
      </c>
      <c r="D3" s="47" t="s">
        <v>12</v>
      </c>
      <c r="E3" s="47" t="s">
        <v>13</v>
      </c>
      <c r="F3" s="48">
        <v>139</v>
      </c>
      <c r="G3" s="49" t="s">
        <v>14</v>
      </c>
      <c r="H3" s="49" t="s">
        <v>15</v>
      </c>
      <c r="I3" s="43" t="s">
        <v>16</v>
      </c>
      <c r="J3" s="43" t="s">
        <v>17</v>
      </c>
      <c r="K3" s="43" t="s">
        <v>18</v>
      </c>
      <c r="L3" s="43" t="s">
        <v>19</v>
      </c>
      <c r="M3" s="50">
        <v>125000</v>
      </c>
      <c r="N3" s="50"/>
      <c r="O3" s="43" t="s">
        <v>158</v>
      </c>
    </row>
    <row r="4" spans="3:15">
      <c r="C4" s="46" t="s">
        <v>20</v>
      </c>
      <c r="D4" s="47" t="s">
        <v>21</v>
      </c>
      <c r="E4" s="47" t="s">
        <v>13</v>
      </c>
      <c r="F4" s="48">
        <v>43</v>
      </c>
      <c r="G4" s="49" t="s">
        <v>14</v>
      </c>
      <c r="H4" s="49" t="s">
        <v>15</v>
      </c>
      <c r="I4" s="43" t="s">
        <v>16</v>
      </c>
      <c r="J4" s="43" t="s">
        <v>17</v>
      </c>
      <c r="K4" s="43" t="s">
        <v>22</v>
      </c>
      <c r="L4" s="43" t="s">
        <v>23</v>
      </c>
      <c r="M4" s="50">
        <v>50000</v>
      </c>
      <c r="N4" s="50"/>
      <c r="O4" s="43" t="s">
        <v>159</v>
      </c>
    </row>
    <row r="5" spans="3:15">
      <c r="C5" s="46" t="s">
        <v>24</v>
      </c>
      <c r="D5" s="47" t="s">
        <v>25</v>
      </c>
      <c r="E5" s="47" t="s">
        <v>26</v>
      </c>
      <c r="F5" s="51"/>
      <c r="G5" s="49" t="s">
        <v>27</v>
      </c>
      <c r="H5" s="49" t="s">
        <v>15</v>
      </c>
      <c r="I5" s="52">
        <v>43556</v>
      </c>
      <c r="J5" s="51"/>
      <c r="K5" s="51"/>
      <c r="L5" s="43" t="s">
        <v>28</v>
      </c>
      <c r="M5" s="50">
        <v>75000</v>
      </c>
      <c r="N5" s="50"/>
      <c r="O5" s="55" t="s">
        <v>112</v>
      </c>
    </row>
    <row r="6" spans="3:15" ht="48" customHeight="1" thickBot="1">
      <c r="C6" s="201" t="s">
        <v>30</v>
      </c>
      <c r="D6" s="202" t="s">
        <v>31</v>
      </c>
      <c r="E6" s="202" t="s">
        <v>26</v>
      </c>
      <c r="F6" s="203"/>
      <c r="G6" s="204" t="s">
        <v>27</v>
      </c>
      <c r="H6" s="204" t="s">
        <v>15</v>
      </c>
      <c r="I6" s="205">
        <v>43556</v>
      </c>
      <c r="J6" s="203"/>
      <c r="K6" s="203"/>
      <c r="L6" s="202" t="s">
        <v>28</v>
      </c>
      <c r="M6" s="206">
        <v>20000</v>
      </c>
      <c r="N6" s="53"/>
      <c r="O6" s="92" t="s">
        <v>157</v>
      </c>
    </row>
    <row r="7" spans="3:15" ht="30.75" thickTop="1">
      <c r="C7" s="56"/>
      <c r="D7" s="72" t="s">
        <v>81</v>
      </c>
      <c r="E7" s="57"/>
      <c r="F7" s="58"/>
      <c r="G7" s="59"/>
      <c r="H7" s="59"/>
      <c r="I7" s="60"/>
      <c r="J7" s="60"/>
      <c r="K7" s="60"/>
      <c r="L7" s="60"/>
      <c r="M7" s="54">
        <f>SUM(M3:M6)</f>
        <v>270000</v>
      </c>
      <c r="N7" s="54">
        <f>M7</f>
        <v>270000</v>
      </c>
      <c r="O7" s="61" t="s">
        <v>156</v>
      </c>
    </row>
    <row r="8" spans="3:15" s="24" customFormat="1">
      <c r="C8" s="20"/>
      <c r="D8" s="21"/>
      <c r="E8" s="21"/>
      <c r="F8" s="22"/>
      <c r="G8" s="23"/>
      <c r="H8" s="23"/>
      <c r="M8" s="18"/>
      <c r="N8" s="18"/>
    </row>
    <row r="9" spans="3:15" s="24" customFormat="1">
      <c r="C9" s="20"/>
      <c r="D9" s="21"/>
      <c r="E9" s="21"/>
      <c r="F9" s="22"/>
      <c r="G9" s="23"/>
      <c r="H9" s="23"/>
      <c r="M9" s="18"/>
      <c r="N9" s="18"/>
    </row>
    <row r="10" spans="3:15">
      <c r="C10" s="2"/>
      <c r="D10" s="17" t="s">
        <v>76</v>
      </c>
      <c r="E10" s="3"/>
      <c r="F10" s="4"/>
      <c r="G10" s="5"/>
      <c r="H10" s="5"/>
      <c r="I10" s="6"/>
      <c r="J10" s="6"/>
      <c r="K10" s="6"/>
      <c r="L10" s="6"/>
      <c r="M10" s="7"/>
      <c r="N10" s="7"/>
      <c r="O10" s="69" t="s">
        <v>10</v>
      </c>
    </row>
    <row r="11" spans="3:15">
      <c r="C11" s="15" t="s">
        <v>32</v>
      </c>
      <c r="D11" s="16" t="s">
        <v>56</v>
      </c>
      <c r="E11" s="28" t="s">
        <v>1</v>
      </c>
      <c r="F11" s="29"/>
      <c r="G11" s="28" t="s">
        <v>3</v>
      </c>
      <c r="H11" s="28" t="s">
        <v>4</v>
      </c>
      <c r="I11" s="28" t="s">
        <v>5</v>
      </c>
      <c r="J11" s="29"/>
      <c r="K11" s="28" t="s">
        <v>7</v>
      </c>
      <c r="L11" s="28" t="s">
        <v>8</v>
      </c>
      <c r="M11" s="30"/>
      <c r="N11" s="30"/>
      <c r="O11" s="28"/>
    </row>
    <row r="12" spans="3:15">
      <c r="C12" s="109" t="s">
        <v>11</v>
      </c>
      <c r="D12" s="9" t="s">
        <v>57</v>
      </c>
      <c r="E12" s="10" t="s">
        <v>13</v>
      </c>
      <c r="F12" s="11"/>
      <c r="G12" s="12" t="s">
        <v>58</v>
      </c>
      <c r="H12" s="12" t="s">
        <v>59</v>
      </c>
      <c r="I12" s="29"/>
      <c r="J12" s="29"/>
      <c r="K12" s="13" t="s">
        <v>60</v>
      </c>
      <c r="L12" s="13" t="s">
        <v>41</v>
      </c>
      <c r="M12" s="14">
        <v>10000</v>
      </c>
      <c r="N12" s="14"/>
      <c r="O12" s="13"/>
    </row>
    <row r="13" spans="3:15">
      <c r="C13" s="109" t="s">
        <v>20</v>
      </c>
      <c r="D13" s="9" t="s">
        <v>61</v>
      </c>
      <c r="E13" s="10" t="s">
        <v>13</v>
      </c>
      <c r="F13" s="11"/>
      <c r="G13" s="12" t="s">
        <v>14</v>
      </c>
      <c r="H13" s="12" t="s">
        <v>15</v>
      </c>
      <c r="I13" s="13" t="s">
        <v>62</v>
      </c>
      <c r="J13" s="29"/>
      <c r="K13" s="13" t="s">
        <v>63</v>
      </c>
      <c r="L13" s="13" t="s">
        <v>64</v>
      </c>
      <c r="M13" s="14">
        <v>30000</v>
      </c>
      <c r="N13" s="14"/>
      <c r="O13" s="13"/>
    </row>
    <row r="14" spans="3:15">
      <c r="C14" s="109" t="s">
        <v>24</v>
      </c>
      <c r="D14" s="9" t="s">
        <v>65</v>
      </c>
      <c r="E14" s="10" t="s">
        <v>26</v>
      </c>
      <c r="F14" s="11"/>
      <c r="G14" s="12" t="s">
        <v>27</v>
      </c>
      <c r="H14" s="12" t="s">
        <v>59</v>
      </c>
      <c r="I14" s="13" t="s">
        <v>66</v>
      </c>
      <c r="J14" s="29"/>
      <c r="K14" s="13" t="s">
        <v>63</v>
      </c>
      <c r="L14" s="13" t="s">
        <v>64</v>
      </c>
      <c r="M14" s="14">
        <v>10000</v>
      </c>
      <c r="N14" s="14"/>
      <c r="O14" s="13"/>
    </row>
    <row r="15" spans="3:15">
      <c r="C15" s="8" t="s">
        <v>30</v>
      </c>
      <c r="D15" s="9" t="s">
        <v>67</v>
      </c>
      <c r="E15" s="10" t="s">
        <v>26</v>
      </c>
      <c r="F15" s="11"/>
      <c r="G15" s="12" t="s">
        <v>68</v>
      </c>
      <c r="H15" s="12" t="s">
        <v>15</v>
      </c>
      <c r="I15" s="13" t="s">
        <v>69</v>
      </c>
      <c r="J15" s="29"/>
      <c r="K15" s="13" t="s">
        <v>63</v>
      </c>
      <c r="L15" s="13" t="s">
        <v>41</v>
      </c>
      <c r="M15" s="14">
        <v>10000</v>
      </c>
      <c r="N15" s="14">
        <f>SUM(M12:M15)</f>
        <v>60000</v>
      </c>
      <c r="O15" s="13"/>
    </row>
    <row r="16" spans="3:15">
      <c r="C16" s="8"/>
      <c r="D16" s="12"/>
      <c r="E16" s="10"/>
      <c r="F16" s="11"/>
      <c r="G16" s="12"/>
      <c r="H16" s="12"/>
      <c r="I16" s="13"/>
      <c r="J16" s="29"/>
      <c r="K16" s="13"/>
      <c r="L16" s="13"/>
      <c r="M16" s="14"/>
      <c r="N16" s="14"/>
      <c r="O16" s="13"/>
    </row>
    <row r="17" spans="3:15">
      <c r="C17" s="15" t="s">
        <v>48</v>
      </c>
      <c r="D17" s="16" t="s">
        <v>75</v>
      </c>
      <c r="E17" s="28" t="s">
        <v>1</v>
      </c>
      <c r="F17" s="29"/>
      <c r="G17" s="28" t="s">
        <v>3</v>
      </c>
      <c r="H17" s="28" t="s">
        <v>4</v>
      </c>
      <c r="I17" s="28" t="s">
        <v>5</v>
      </c>
      <c r="J17" s="28" t="s">
        <v>6</v>
      </c>
      <c r="K17" s="28" t="s">
        <v>7</v>
      </c>
      <c r="L17" s="28" t="s">
        <v>8</v>
      </c>
      <c r="M17" s="30"/>
      <c r="N17" s="30"/>
      <c r="O17" s="28"/>
    </row>
    <row r="18" spans="3:15">
      <c r="C18" s="8" t="s">
        <v>11</v>
      </c>
      <c r="D18" s="9" t="s">
        <v>33</v>
      </c>
      <c r="E18" s="10" t="s">
        <v>26</v>
      </c>
      <c r="F18" s="11"/>
      <c r="G18" s="12" t="s">
        <v>34</v>
      </c>
      <c r="H18" s="12" t="s">
        <v>29</v>
      </c>
      <c r="I18" s="13">
        <v>2021</v>
      </c>
      <c r="J18" s="13" t="s">
        <v>35</v>
      </c>
      <c r="K18" s="13" t="s">
        <v>36</v>
      </c>
      <c r="L18" s="13" t="s">
        <v>37</v>
      </c>
      <c r="M18" s="14">
        <v>0</v>
      </c>
      <c r="N18" s="14"/>
      <c r="O18" s="13"/>
    </row>
    <row r="19" spans="3:15">
      <c r="C19" s="8" t="s">
        <v>24</v>
      </c>
      <c r="D19" s="9" t="s">
        <v>43</v>
      </c>
      <c r="E19" s="10" t="s">
        <v>13</v>
      </c>
      <c r="F19" s="27">
        <v>0</v>
      </c>
      <c r="G19" s="13" t="s">
        <v>44</v>
      </c>
      <c r="H19" s="13" t="s">
        <v>44</v>
      </c>
      <c r="I19" s="13" t="s">
        <v>44</v>
      </c>
      <c r="J19" s="13" t="s">
        <v>44</v>
      </c>
      <c r="K19" s="13" t="s">
        <v>45</v>
      </c>
      <c r="L19" s="13" t="s">
        <v>46</v>
      </c>
      <c r="M19" s="14">
        <v>0</v>
      </c>
      <c r="N19" s="14"/>
      <c r="O19" s="13"/>
    </row>
    <row r="20" spans="3:15">
      <c r="C20" s="8" t="s">
        <v>30</v>
      </c>
      <c r="D20" s="9" t="s">
        <v>47</v>
      </c>
      <c r="E20" s="10" t="s">
        <v>26</v>
      </c>
      <c r="F20" s="11"/>
      <c r="G20" s="12" t="s">
        <v>14</v>
      </c>
      <c r="H20" s="12" t="s">
        <v>15</v>
      </c>
      <c r="I20" s="13" t="s">
        <v>16</v>
      </c>
      <c r="J20" s="13" t="s">
        <v>17</v>
      </c>
      <c r="K20" s="13" t="s">
        <v>18</v>
      </c>
      <c r="L20" s="13" t="s">
        <v>19</v>
      </c>
      <c r="M20" s="14">
        <v>40000</v>
      </c>
      <c r="N20" s="14">
        <f>SUM(M17:M20)</f>
        <v>40000</v>
      </c>
      <c r="O20" s="13"/>
    </row>
    <row r="21" spans="3:15">
      <c r="C21" s="8"/>
      <c r="D21" s="26"/>
      <c r="E21" s="28" t="s">
        <v>1</v>
      </c>
      <c r="F21" s="29"/>
      <c r="G21" s="29"/>
      <c r="H21" s="29"/>
      <c r="I21" s="29"/>
      <c r="J21" s="29"/>
      <c r="K21" s="29"/>
      <c r="L21" s="28" t="s">
        <v>8</v>
      </c>
      <c r="M21" s="30"/>
      <c r="N21" s="30"/>
      <c r="O21" s="28"/>
    </row>
    <row r="22" spans="3:15">
      <c r="C22" s="15" t="s">
        <v>52</v>
      </c>
      <c r="D22" s="16" t="s">
        <v>49</v>
      </c>
      <c r="E22" s="10" t="s">
        <v>26</v>
      </c>
      <c r="F22" s="11"/>
      <c r="G22" s="11"/>
      <c r="H22" s="11"/>
      <c r="I22" s="11"/>
      <c r="J22" s="11"/>
      <c r="K22" s="11"/>
      <c r="L22" s="13" t="s">
        <v>50</v>
      </c>
      <c r="M22" s="14">
        <v>230000</v>
      </c>
      <c r="N22" s="14">
        <f>M22</f>
        <v>230000</v>
      </c>
      <c r="O22" s="13" t="s">
        <v>51</v>
      </c>
    </row>
    <row r="23" spans="3:15">
      <c r="C23" s="15"/>
      <c r="D23" s="16"/>
      <c r="E23" s="10"/>
      <c r="F23" s="11"/>
      <c r="G23" s="11"/>
      <c r="H23" s="11"/>
      <c r="I23" s="11"/>
      <c r="J23" s="11"/>
      <c r="K23" s="11"/>
      <c r="L23" s="13"/>
      <c r="M23" s="14"/>
      <c r="N23" s="14"/>
      <c r="O23" s="13"/>
    </row>
    <row r="24" spans="3:15">
      <c r="C24" s="110" t="s">
        <v>55</v>
      </c>
      <c r="D24" s="13" t="s">
        <v>77</v>
      </c>
      <c r="E24" s="10" t="s">
        <v>26</v>
      </c>
      <c r="F24" s="29"/>
      <c r="G24" s="12" t="s">
        <v>72</v>
      </c>
      <c r="H24" s="12" t="s">
        <v>15</v>
      </c>
      <c r="I24" s="12">
        <v>2023</v>
      </c>
      <c r="J24" s="111"/>
      <c r="K24" s="13" t="s">
        <v>63</v>
      </c>
      <c r="L24" s="13" t="s">
        <v>41</v>
      </c>
      <c r="M24" s="14"/>
      <c r="N24" s="14"/>
      <c r="O24" s="12"/>
    </row>
    <row r="25" spans="3:15">
      <c r="C25" s="8" t="s">
        <v>11</v>
      </c>
      <c r="D25" s="9" t="s">
        <v>78</v>
      </c>
      <c r="E25" s="10" t="s">
        <v>26</v>
      </c>
      <c r="F25" s="29"/>
      <c r="G25" s="12" t="s">
        <v>72</v>
      </c>
      <c r="H25" s="12" t="s">
        <v>15</v>
      </c>
      <c r="I25" s="12">
        <v>2023</v>
      </c>
      <c r="J25" s="111"/>
      <c r="K25" s="13" t="s">
        <v>63</v>
      </c>
      <c r="L25" s="13" t="s">
        <v>41</v>
      </c>
      <c r="M25" s="14">
        <v>25000</v>
      </c>
      <c r="N25" s="14">
        <f>M25</f>
        <v>25000</v>
      </c>
      <c r="O25" s="12" t="s">
        <v>73</v>
      </c>
    </row>
    <row r="26" spans="3:15" ht="15.75" thickBot="1">
      <c r="C26" s="8" t="s">
        <v>20</v>
      </c>
      <c r="D26" s="9" t="s">
        <v>79</v>
      </c>
      <c r="E26" s="112"/>
      <c r="F26" s="113"/>
      <c r="G26" s="71"/>
      <c r="H26" s="71"/>
      <c r="I26" s="68"/>
      <c r="J26" s="68"/>
      <c r="K26" s="68"/>
      <c r="L26" s="68"/>
      <c r="M26" s="25">
        <v>0</v>
      </c>
      <c r="N26" s="25"/>
      <c r="O26" s="68"/>
    </row>
    <row r="27" spans="3:15" ht="15.75" thickTop="1">
      <c r="C27" s="8"/>
      <c r="D27" s="114" t="s">
        <v>82</v>
      </c>
      <c r="E27" s="115"/>
      <c r="F27" s="116"/>
      <c r="G27" s="117"/>
      <c r="H27" s="117"/>
      <c r="I27" s="118"/>
      <c r="J27" s="118"/>
      <c r="K27" s="118"/>
      <c r="L27" s="118"/>
      <c r="M27" s="119">
        <f>SUM(M11:M26)</f>
        <v>355000</v>
      </c>
      <c r="N27" s="119">
        <f>SUM(N11:N26)</f>
        <v>355000</v>
      </c>
      <c r="O27" s="120" t="s">
        <v>165</v>
      </c>
    </row>
    <row r="28" spans="3:15">
      <c r="C28" s="1"/>
      <c r="D28" s="62"/>
      <c r="E28" s="63"/>
      <c r="F28" s="64"/>
      <c r="G28" s="65"/>
      <c r="H28" s="65"/>
      <c r="I28" s="66"/>
      <c r="J28" s="66"/>
      <c r="K28" s="66"/>
      <c r="L28" s="66"/>
      <c r="M28" s="19"/>
      <c r="N28" s="19"/>
      <c r="O28" s="66"/>
    </row>
    <row r="29" spans="3:15">
      <c r="C29" s="34"/>
      <c r="D29" s="100" t="s">
        <v>80</v>
      </c>
      <c r="E29" s="101"/>
      <c r="F29" s="36"/>
      <c r="G29" s="37"/>
      <c r="H29" s="37"/>
      <c r="I29" s="31"/>
      <c r="J29" s="31"/>
      <c r="K29" s="31"/>
      <c r="L29" s="31"/>
      <c r="M29" s="38"/>
      <c r="N29" s="38"/>
      <c r="O29" s="31"/>
    </row>
    <row r="30" spans="3:15">
      <c r="C30" s="102" t="s">
        <v>70</v>
      </c>
      <c r="D30" s="42" t="s">
        <v>38</v>
      </c>
      <c r="E30" s="35" t="s">
        <v>26</v>
      </c>
      <c r="F30" s="40"/>
      <c r="G30" s="37" t="s">
        <v>39</v>
      </c>
      <c r="H30" s="37" t="s">
        <v>15</v>
      </c>
      <c r="I30" s="31" t="s">
        <v>40</v>
      </c>
      <c r="J30" s="40"/>
      <c r="K30" s="40"/>
      <c r="L30" s="31" t="s">
        <v>41</v>
      </c>
      <c r="M30" s="38">
        <v>55000</v>
      </c>
      <c r="N30" s="38">
        <f>M30</f>
        <v>55000</v>
      </c>
      <c r="O30" s="31" t="s">
        <v>42</v>
      </c>
    </row>
    <row r="31" spans="3:15">
      <c r="C31" s="34"/>
      <c r="D31" s="42"/>
      <c r="E31" s="32" t="s">
        <v>1</v>
      </c>
      <c r="F31" s="39"/>
      <c r="G31" s="32" t="s">
        <v>3</v>
      </c>
      <c r="H31" s="32" t="s">
        <v>4</v>
      </c>
      <c r="I31" s="32" t="s">
        <v>5</v>
      </c>
      <c r="J31" s="32" t="s">
        <v>6</v>
      </c>
      <c r="K31" s="32" t="s">
        <v>7</v>
      </c>
      <c r="L31" s="32" t="s">
        <v>8</v>
      </c>
      <c r="M31" s="33"/>
      <c r="N31" s="33"/>
      <c r="O31" s="32"/>
    </row>
    <row r="32" spans="3:15" ht="15.75" thickBot="1">
      <c r="C32" s="103" t="s">
        <v>71</v>
      </c>
      <c r="D32" s="104" t="s">
        <v>53</v>
      </c>
      <c r="E32" s="105" t="s">
        <v>26</v>
      </c>
      <c r="F32" s="106"/>
      <c r="G32" s="107" t="s">
        <v>14</v>
      </c>
      <c r="H32" s="107" t="s">
        <v>15</v>
      </c>
      <c r="I32" s="108" t="s">
        <v>16</v>
      </c>
      <c r="J32" s="108" t="s">
        <v>17</v>
      </c>
      <c r="K32" s="108" t="s">
        <v>18</v>
      </c>
      <c r="L32" s="108" t="s">
        <v>19</v>
      </c>
      <c r="M32" s="41">
        <v>300000</v>
      </c>
      <c r="N32" s="41">
        <f>M32</f>
        <v>300000</v>
      </c>
      <c r="O32" s="108" t="s">
        <v>54</v>
      </c>
    </row>
    <row r="33" spans="3:15" ht="16.5" thickTop="1" thickBot="1">
      <c r="C33" s="212"/>
      <c r="D33" s="213" t="s">
        <v>82</v>
      </c>
      <c r="E33" s="214"/>
      <c r="F33" s="215"/>
      <c r="G33" s="214"/>
      <c r="H33" s="214"/>
      <c r="I33" s="214"/>
      <c r="J33" s="214"/>
      <c r="K33" s="214"/>
      <c r="L33" s="214"/>
      <c r="M33" s="216">
        <f>SUM(M30:M32)</f>
        <v>355000</v>
      </c>
      <c r="N33" s="217">
        <f>SUM(N30:N32)</f>
        <v>355000</v>
      </c>
      <c r="O33" s="214"/>
    </row>
    <row r="34" spans="3:15" ht="15.75" thickTop="1">
      <c r="C34" s="207"/>
      <c r="D34" s="208" t="s">
        <v>74</v>
      </c>
      <c r="E34" s="209"/>
      <c r="F34" s="209"/>
      <c r="G34" s="209"/>
      <c r="H34" s="209"/>
      <c r="I34" s="209"/>
      <c r="J34" s="209"/>
      <c r="K34" s="209"/>
      <c r="L34" s="209"/>
      <c r="M34" s="211">
        <f>M33+M27+M7</f>
        <v>980000</v>
      </c>
      <c r="N34" s="210">
        <f>N33+N27+N7</f>
        <v>980000</v>
      </c>
      <c r="O34" s="207"/>
    </row>
    <row r="36" spans="3:15">
      <c r="C36" t="s">
        <v>163</v>
      </c>
    </row>
    <row r="37" spans="3:15">
      <c r="C37" t="s">
        <v>164</v>
      </c>
      <c r="N37" s="67"/>
    </row>
  </sheetData>
  <printOptions horizontalCentered="1" verticalCentered="1"/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selection activeCell="K6" sqref="K6"/>
    </sheetView>
  </sheetViews>
  <sheetFormatPr defaultRowHeight="12.75"/>
  <cols>
    <col min="1" max="1" width="17.7109375" style="73" customWidth="1"/>
    <col min="2" max="2" width="11.42578125" style="73" customWidth="1"/>
    <col min="3" max="3" width="10.85546875" style="73" customWidth="1"/>
    <col min="4" max="4" width="12.42578125" style="73" customWidth="1"/>
    <col min="5" max="5" width="10.42578125" style="74" customWidth="1"/>
    <col min="6" max="6" width="18.28515625" style="73" customWidth="1"/>
    <col min="7" max="7" width="16" style="73" customWidth="1"/>
    <col min="8" max="8" width="17" style="73" customWidth="1"/>
    <col min="9" max="9" width="16" style="73" customWidth="1"/>
    <col min="10" max="10" width="14.85546875" style="73" customWidth="1"/>
    <col min="11" max="12" width="14" style="73" customWidth="1"/>
    <col min="13" max="13" width="16.28515625" style="73" customWidth="1"/>
    <col min="14" max="14" width="1.85546875" style="73" customWidth="1"/>
    <col min="15" max="16384" width="9.140625" style="73"/>
  </cols>
  <sheetData>
    <row r="1" spans="1:14" ht="18.75">
      <c r="A1" s="190" t="s">
        <v>166</v>
      </c>
    </row>
    <row r="2" spans="1:14" ht="12.75" customHeight="1">
      <c r="A2" s="124">
        <v>1</v>
      </c>
      <c r="B2" s="124">
        <f>A2+1</f>
        <v>2</v>
      </c>
      <c r="C2" s="124">
        <f>B2+1</f>
        <v>3</v>
      </c>
      <c r="D2" s="124">
        <f t="shared" ref="D2:K2" si="0">C2+1</f>
        <v>4</v>
      </c>
      <c r="E2" s="124">
        <f t="shared" si="0"/>
        <v>5</v>
      </c>
      <c r="F2" s="124">
        <f t="shared" si="0"/>
        <v>6</v>
      </c>
      <c r="G2" s="124">
        <f t="shared" si="0"/>
        <v>7</v>
      </c>
      <c r="H2" s="124">
        <f t="shared" si="0"/>
        <v>8</v>
      </c>
      <c r="I2" s="124">
        <f t="shared" si="0"/>
        <v>9</v>
      </c>
      <c r="J2" s="124">
        <f t="shared" si="0"/>
        <v>10</v>
      </c>
      <c r="K2" s="124">
        <f t="shared" si="0"/>
        <v>11</v>
      </c>
      <c r="L2" s="124">
        <v>12</v>
      </c>
      <c r="M2" s="124">
        <v>13</v>
      </c>
      <c r="N2" s="93"/>
    </row>
    <row r="3" spans="1:14" ht="69" customHeight="1">
      <c r="A3" s="90" t="s">
        <v>111</v>
      </c>
      <c r="B3" s="88" t="s">
        <v>110</v>
      </c>
      <c r="C3" s="89" t="s">
        <v>109</v>
      </c>
      <c r="D3" s="91" t="s">
        <v>108</v>
      </c>
      <c r="E3" s="90" t="s">
        <v>107</v>
      </c>
      <c r="F3" s="99" t="s">
        <v>106</v>
      </c>
      <c r="G3" s="99" t="s">
        <v>105</v>
      </c>
      <c r="H3" s="99" t="s">
        <v>104</v>
      </c>
      <c r="I3" s="99" t="s">
        <v>103</v>
      </c>
      <c r="J3" s="125" t="s">
        <v>113</v>
      </c>
      <c r="K3" s="126" t="s">
        <v>114</v>
      </c>
      <c r="L3" s="88" t="s">
        <v>131</v>
      </c>
      <c r="M3" s="88" t="s">
        <v>136</v>
      </c>
    </row>
    <row r="4" spans="1:14" ht="14.25" customHeight="1">
      <c r="A4" s="81" t="s">
        <v>102</v>
      </c>
      <c r="B4" s="80">
        <v>9611</v>
      </c>
      <c r="C4" s="79">
        <v>52394</v>
      </c>
      <c r="D4" s="79">
        <v>41439</v>
      </c>
      <c r="E4" s="78">
        <v>1629</v>
      </c>
      <c r="F4" s="137">
        <f>(E4/$E$20)*$B$24/2</f>
        <v>74.728884158761034</v>
      </c>
      <c r="G4" s="137">
        <f>(B4/$B$20)*$B$24/2</f>
        <v>330.51652879643353</v>
      </c>
      <c r="H4" s="137">
        <f>(B4/$B$20)*$B$25/2</f>
        <v>1802.8174297987284</v>
      </c>
      <c r="I4" s="137">
        <f>(E4/$E$20)*$B$25/2</f>
        <v>407.61209541142381</v>
      </c>
      <c r="J4" s="139">
        <f t="shared" ref="J4:J19" si="1">F4+G4+H4+I4</f>
        <v>2615.6749381653472</v>
      </c>
      <c r="K4" s="140">
        <f>$B$28</f>
        <v>22187.5</v>
      </c>
      <c r="L4" s="171">
        <f>-6400/15</f>
        <v>-426.66666666666669</v>
      </c>
      <c r="M4" s="218">
        <f>K4+J4+L4</f>
        <v>24376.508271498678</v>
      </c>
    </row>
    <row r="5" spans="1:14" ht="14.25" customHeight="1">
      <c r="A5" s="81" t="s">
        <v>101</v>
      </c>
      <c r="B5" s="80">
        <v>138809</v>
      </c>
      <c r="C5" s="79">
        <v>72973</v>
      </c>
      <c r="D5" s="79">
        <v>62944</v>
      </c>
      <c r="E5" s="78">
        <v>8047</v>
      </c>
      <c r="F5" s="137">
        <f t="shared" ref="F5:F19" si="2">(E5/$E$20)*$B$24/2</f>
        <v>369.1487604822284</v>
      </c>
      <c r="G5" s="137">
        <f t="shared" ref="G5:G19" si="3">(B5/$B$20)*$B$24/2</f>
        <v>4773.5583025391888</v>
      </c>
      <c r="H5" s="137">
        <f t="shared" ref="H5:H19" si="4">(B5/$B$20)*$B$25/2</f>
        <v>26037.590741122847</v>
      </c>
      <c r="I5" s="137">
        <f t="shared" ref="I5:I19" si="5">(E5/$E$20)*$B$25/2</f>
        <v>2013.5386935394276</v>
      </c>
      <c r="J5" s="139">
        <f t="shared" si="1"/>
        <v>33193.836497683697</v>
      </c>
      <c r="K5" s="140">
        <f t="shared" ref="K5:K19" si="6">$B$28</f>
        <v>22187.5</v>
      </c>
      <c r="L5" s="171">
        <f>-6400/15</f>
        <v>-426.66666666666669</v>
      </c>
      <c r="M5" s="218">
        <f t="shared" ref="M5:M19" si="7">K5+J5+L5</f>
        <v>54954.669831017032</v>
      </c>
    </row>
    <row r="6" spans="1:14" ht="14.25" customHeight="1">
      <c r="A6" s="81" t="s">
        <v>87</v>
      </c>
      <c r="B6" s="80">
        <v>63500</v>
      </c>
      <c r="C6" s="79">
        <v>126689</v>
      </c>
      <c r="D6" s="79">
        <v>22155</v>
      </c>
      <c r="E6" s="78">
        <v>10498</v>
      </c>
      <c r="F6" s="137">
        <f t="shared" si="2"/>
        <v>481.58614235646002</v>
      </c>
      <c r="G6" s="137">
        <f t="shared" si="3"/>
        <v>2183.7269356543052</v>
      </c>
      <c r="H6" s="137">
        <f t="shared" si="4"/>
        <v>11911.237830841665</v>
      </c>
      <c r="I6" s="137">
        <f t="shared" si="5"/>
        <v>2626.8335037625093</v>
      </c>
      <c r="J6" s="139">
        <f>F6+G6+H6+I6</f>
        <v>17203.384412614942</v>
      </c>
      <c r="K6" s="140">
        <f t="shared" si="6"/>
        <v>22187.5</v>
      </c>
      <c r="L6" s="171">
        <v>6400</v>
      </c>
      <c r="M6" s="218">
        <f t="shared" si="7"/>
        <v>45790.884412614942</v>
      </c>
    </row>
    <row r="7" spans="1:14" ht="14.25" customHeight="1">
      <c r="A7" s="81" t="s">
        <v>100</v>
      </c>
      <c r="B7" s="80">
        <v>1153</v>
      </c>
      <c r="C7" s="87">
        <v>923</v>
      </c>
      <c r="D7" s="87">
        <v>469</v>
      </c>
      <c r="E7" s="78">
        <v>1558</v>
      </c>
      <c r="F7" s="137">
        <f t="shared" si="2"/>
        <v>71.47182413710847</v>
      </c>
      <c r="G7" s="137">
        <f t="shared" si="3"/>
        <v>39.650978847392345</v>
      </c>
      <c r="H7" s="137">
        <f t="shared" si="4"/>
        <v>216.27806644032188</v>
      </c>
      <c r="I7" s="137">
        <f t="shared" si="5"/>
        <v>389.84631347513709</v>
      </c>
      <c r="J7" s="139">
        <f t="shared" si="1"/>
        <v>717.24718289995985</v>
      </c>
      <c r="K7" s="140">
        <f t="shared" si="6"/>
        <v>22187.5</v>
      </c>
      <c r="L7" s="171">
        <f t="shared" ref="L7:L19" si="8">-6400/15</f>
        <v>-426.66666666666669</v>
      </c>
      <c r="M7" s="218">
        <f t="shared" si="7"/>
        <v>22478.080516233291</v>
      </c>
    </row>
    <row r="8" spans="1:14" ht="14.25" customHeight="1">
      <c r="A8" s="81" t="s">
        <v>99</v>
      </c>
      <c r="B8" s="87">
        <v>485</v>
      </c>
      <c r="C8" s="87">
        <v>650</v>
      </c>
      <c r="D8" s="87">
        <v>650</v>
      </c>
      <c r="E8" s="86">
        <v>2819</v>
      </c>
      <c r="F8" s="137">
        <f t="shared" si="2"/>
        <v>129.31904508505056</v>
      </c>
      <c r="G8" s="137">
        <f t="shared" si="3"/>
        <v>16.678859272320285</v>
      </c>
      <c r="H8" s="137">
        <f t="shared" si="4"/>
        <v>90.975596030837906</v>
      </c>
      <c r="I8" s="137">
        <f t="shared" si="5"/>
        <v>705.37660955482124</v>
      </c>
      <c r="J8" s="139">
        <f t="shared" si="1"/>
        <v>942.35010994303002</v>
      </c>
      <c r="K8" s="140">
        <f t="shared" si="6"/>
        <v>22187.5</v>
      </c>
      <c r="L8" s="171">
        <f t="shared" si="8"/>
        <v>-426.66666666666669</v>
      </c>
      <c r="M8" s="218">
        <f t="shared" si="7"/>
        <v>22703.183443276361</v>
      </c>
    </row>
    <row r="9" spans="1:14" ht="14.25" customHeight="1">
      <c r="A9" s="81" t="s">
        <v>98</v>
      </c>
      <c r="B9" s="80">
        <v>14520</v>
      </c>
      <c r="C9" s="79">
        <v>9167</v>
      </c>
      <c r="D9" s="79">
        <v>8981</v>
      </c>
      <c r="E9" s="78">
        <v>58174</v>
      </c>
      <c r="F9" s="137">
        <f t="shared" si="2"/>
        <v>2668.6790098537535</v>
      </c>
      <c r="G9" s="137">
        <f t="shared" si="3"/>
        <v>499.334096152764</v>
      </c>
      <c r="H9" s="137">
        <f t="shared" si="4"/>
        <v>2723.6405244696216</v>
      </c>
      <c r="I9" s="137">
        <f t="shared" si="5"/>
        <v>14556.430962838655</v>
      </c>
      <c r="J9" s="139">
        <f t="shared" si="1"/>
        <v>20448.084593314794</v>
      </c>
      <c r="K9" s="140">
        <f t="shared" si="6"/>
        <v>22187.5</v>
      </c>
      <c r="L9" s="171">
        <f t="shared" si="8"/>
        <v>-426.66666666666669</v>
      </c>
      <c r="M9" s="218">
        <f t="shared" si="7"/>
        <v>42208.91792664813</v>
      </c>
    </row>
    <row r="10" spans="1:14" ht="14.25" customHeight="1">
      <c r="A10" s="81" t="s">
        <v>97</v>
      </c>
      <c r="B10" s="80">
        <v>18985</v>
      </c>
      <c r="C10" s="79">
        <v>13596</v>
      </c>
      <c r="D10" s="79">
        <v>13378</v>
      </c>
      <c r="E10" s="78">
        <v>64279</v>
      </c>
      <c r="F10" s="137">
        <f t="shared" si="2"/>
        <v>2948.7402976310623</v>
      </c>
      <c r="G10" s="137">
        <f t="shared" si="3"/>
        <v>652.88276965979503</v>
      </c>
      <c r="H10" s="137">
        <f t="shared" si="4"/>
        <v>3561.1787435988822</v>
      </c>
      <c r="I10" s="137">
        <f t="shared" si="5"/>
        <v>16084.037987078522</v>
      </c>
      <c r="J10" s="139">
        <f t="shared" si="1"/>
        <v>23246.839797968263</v>
      </c>
      <c r="K10" s="140">
        <f t="shared" si="6"/>
        <v>22187.5</v>
      </c>
      <c r="L10" s="171">
        <f t="shared" si="8"/>
        <v>-426.66666666666669</v>
      </c>
      <c r="M10" s="218">
        <f t="shared" si="7"/>
        <v>45007.673131301599</v>
      </c>
    </row>
    <row r="11" spans="1:14" ht="14.25" customHeight="1">
      <c r="A11" s="81" t="s">
        <v>96</v>
      </c>
      <c r="B11" s="80">
        <v>146158</v>
      </c>
      <c r="C11" s="79">
        <v>148885</v>
      </c>
      <c r="D11" s="79">
        <v>70472</v>
      </c>
      <c r="E11" s="78">
        <v>21977</v>
      </c>
      <c r="F11" s="137">
        <f t="shared" si="2"/>
        <v>1008.1747619134998</v>
      </c>
      <c r="G11" s="137">
        <f t="shared" si="3"/>
        <v>5026.2860072655421</v>
      </c>
      <c r="H11" s="137">
        <f t="shared" si="4"/>
        <v>27416.105494175685</v>
      </c>
      <c r="I11" s="137">
        <f t="shared" si="5"/>
        <v>5499.1350649827264</v>
      </c>
      <c r="J11" s="139">
        <f t="shared" si="1"/>
        <v>38949.701328337454</v>
      </c>
      <c r="K11" s="140">
        <f t="shared" si="6"/>
        <v>22187.5</v>
      </c>
      <c r="L11" s="171">
        <f t="shared" si="8"/>
        <v>-426.66666666666669</v>
      </c>
      <c r="M11" s="218">
        <f t="shared" si="7"/>
        <v>60710.53466167079</v>
      </c>
    </row>
    <row r="12" spans="1:14" ht="14.25" customHeight="1">
      <c r="A12" s="81" t="s">
        <v>95</v>
      </c>
      <c r="B12" s="80">
        <v>39952</v>
      </c>
      <c r="C12" s="79">
        <v>31785</v>
      </c>
      <c r="D12" s="79">
        <v>23524</v>
      </c>
      <c r="E12" s="78">
        <v>1890</v>
      </c>
      <c r="F12" s="137">
        <f t="shared" si="2"/>
        <v>86.702020294695117</v>
      </c>
      <c r="G12" s="137">
        <f t="shared" si="3"/>
        <v>1373.9253312324536</v>
      </c>
      <c r="H12" s="137">
        <f t="shared" si="4"/>
        <v>7494.1381703588377</v>
      </c>
      <c r="I12" s="137">
        <f t="shared" si="5"/>
        <v>472.920110698337</v>
      </c>
      <c r="J12" s="139">
        <f t="shared" si="1"/>
        <v>9427.6856325843237</v>
      </c>
      <c r="K12" s="140">
        <f t="shared" si="6"/>
        <v>22187.5</v>
      </c>
      <c r="L12" s="171">
        <f t="shared" si="8"/>
        <v>-426.66666666666669</v>
      </c>
      <c r="M12" s="218">
        <f t="shared" si="7"/>
        <v>31188.518965917658</v>
      </c>
    </row>
    <row r="13" spans="1:14" ht="14.25" customHeight="1">
      <c r="A13" s="81" t="s">
        <v>94</v>
      </c>
      <c r="B13" s="80">
        <v>4532</v>
      </c>
      <c r="C13" s="79">
        <v>18062</v>
      </c>
      <c r="D13" s="79">
        <v>16167</v>
      </c>
      <c r="E13" s="78">
        <v>7136</v>
      </c>
      <c r="F13" s="137">
        <f t="shared" si="2"/>
        <v>327.35746921848909</v>
      </c>
      <c r="G13" s="137">
        <f t="shared" si="3"/>
        <v>155.85276334465058</v>
      </c>
      <c r="H13" s="137">
        <f t="shared" si="4"/>
        <v>850.10598187991218</v>
      </c>
      <c r="I13" s="137">
        <f t="shared" si="5"/>
        <v>1785.5861957372131</v>
      </c>
      <c r="J13" s="139">
        <f t="shared" si="1"/>
        <v>3118.9024101802652</v>
      </c>
      <c r="K13" s="140">
        <f t="shared" si="6"/>
        <v>22187.5</v>
      </c>
      <c r="L13" s="171">
        <f t="shared" si="8"/>
        <v>-426.66666666666669</v>
      </c>
      <c r="M13" s="218">
        <f t="shared" si="7"/>
        <v>24879.735743513596</v>
      </c>
    </row>
    <row r="14" spans="1:14" ht="14.25" customHeight="1">
      <c r="A14" s="81" t="s">
        <v>93</v>
      </c>
      <c r="B14" s="80">
        <v>165025</v>
      </c>
      <c r="C14" s="79">
        <v>99816</v>
      </c>
      <c r="D14" s="79">
        <v>72708</v>
      </c>
      <c r="E14" s="78">
        <v>41134</v>
      </c>
      <c r="F14" s="137">
        <f t="shared" si="2"/>
        <v>1886.984604657137</v>
      </c>
      <c r="G14" s="137">
        <f t="shared" si="3"/>
        <v>5675.1108276590821</v>
      </c>
      <c r="H14" s="137">
        <f t="shared" si="4"/>
        <v>30955.149969049537</v>
      </c>
      <c r="I14" s="137">
        <f t="shared" si="5"/>
        <v>10292.643298129839</v>
      </c>
      <c r="J14" s="139">
        <f t="shared" si="1"/>
        <v>48809.888699495597</v>
      </c>
      <c r="K14" s="140">
        <f t="shared" si="6"/>
        <v>22187.5</v>
      </c>
      <c r="L14" s="171">
        <f t="shared" si="8"/>
        <v>-426.66666666666669</v>
      </c>
      <c r="M14" s="218">
        <f t="shared" si="7"/>
        <v>70570.722032828926</v>
      </c>
    </row>
    <row r="15" spans="1:14" ht="14.25" customHeight="1">
      <c r="A15" s="81" t="s">
        <v>92</v>
      </c>
      <c r="B15" s="80">
        <v>74448</v>
      </c>
      <c r="C15" s="79">
        <v>49714</v>
      </c>
      <c r="D15" s="79">
        <v>43016</v>
      </c>
      <c r="E15" s="78">
        <v>16859</v>
      </c>
      <c r="F15" s="137">
        <f t="shared" si="2"/>
        <v>773.39119584564287</v>
      </c>
      <c r="G15" s="137">
        <f t="shared" si="3"/>
        <v>2560.2220930014446</v>
      </c>
      <c r="H15" s="137">
        <f t="shared" si="4"/>
        <v>13964.847780007878</v>
      </c>
      <c r="I15" s="137">
        <f t="shared" si="5"/>
        <v>4218.4974318853247</v>
      </c>
      <c r="J15" s="139">
        <f t="shared" si="1"/>
        <v>21516.958500740289</v>
      </c>
      <c r="K15" s="140">
        <f t="shared" si="6"/>
        <v>22187.5</v>
      </c>
      <c r="L15" s="171">
        <f t="shared" si="8"/>
        <v>-426.66666666666669</v>
      </c>
      <c r="M15" s="218">
        <f t="shared" si="7"/>
        <v>43277.791834073629</v>
      </c>
    </row>
    <row r="16" spans="1:14" ht="14.25" customHeight="1">
      <c r="A16" s="81" t="s">
        <v>91</v>
      </c>
      <c r="B16" s="80">
        <v>8183</v>
      </c>
      <c r="C16" s="79">
        <v>6713</v>
      </c>
      <c r="D16" s="79">
        <v>6645</v>
      </c>
      <c r="E16" s="78">
        <v>39779</v>
      </c>
      <c r="F16" s="137">
        <f t="shared" si="2"/>
        <v>1824.8252197368665</v>
      </c>
      <c r="G16" s="137">
        <f t="shared" si="3"/>
        <v>281.40846479463278</v>
      </c>
      <c r="H16" s="137">
        <f t="shared" si="4"/>
        <v>1534.9552625161787</v>
      </c>
      <c r="I16" s="137">
        <f t="shared" si="5"/>
        <v>9953.5921076556351</v>
      </c>
      <c r="J16" s="139">
        <f t="shared" si="1"/>
        <v>13594.781054703313</v>
      </c>
      <c r="K16" s="140">
        <f t="shared" si="6"/>
        <v>22187.5</v>
      </c>
      <c r="L16" s="171">
        <f t="shared" si="8"/>
        <v>-426.66666666666669</v>
      </c>
      <c r="M16" s="218">
        <f t="shared" si="7"/>
        <v>35355.614388036651</v>
      </c>
    </row>
    <row r="17" spans="1:13" ht="14.25" customHeight="1">
      <c r="A17" s="81" t="s">
        <v>90</v>
      </c>
      <c r="B17" s="80">
        <v>60031</v>
      </c>
      <c r="C17" s="79">
        <v>63270</v>
      </c>
      <c r="D17" s="79">
        <v>59054</v>
      </c>
      <c r="E17" s="78">
        <v>38080</v>
      </c>
      <c r="F17" s="137">
        <f t="shared" si="2"/>
        <v>1746.8851496412647</v>
      </c>
      <c r="G17" s="137">
        <f t="shared" si="3"/>
        <v>2064.4301051065131</v>
      </c>
      <c r="H17" s="137">
        <f t="shared" si="4"/>
        <v>11260.527846035528</v>
      </c>
      <c r="I17" s="137">
        <f t="shared" si="5"/>
        <v>9528.4644525887161</v>
      </c>
      <c r="J17" s="139">
        <f t="shared" si="1"/>
        <v>24600.307553372022</v>
      </c>
      <c r="K17" s="140">
        <f t="shared" si="6"/>
        <v>22187.5</v>
      </c>
      <c r="L17" s="171">
        <f t="shared" si="8"/>
        <v>-426.66666666666669</v>
      </c>
      <c r="M17" s="218">
        <f t="shared" si="7"/>
        <v>46361.140886705361</v>
      </c>
    </row>
    <row r="18" spans="1:13" ht="14.25" customHeight="1">
      <c r="A18" s="81" t="s">
        <v>89</v>
      </c>
      <c r="B18" s="80">
        <v>23035</v>
      </c>
      <c r="C18" s="79">
        <v>40007</v>
      </c>
      <c r="D18" s="79">
        <v>39408</v>
      </c>
      <c r="E18" s="78">
        <v>277120</v>
      </c>
      <c r="F18" s="137">
        <f t="shared" si="2"/>
        <v>12712.626383103658</v>
      </c>
      <c r="G18" s="137">
        <f t="shared" si="3"/>
        <v>792.15984193380973</v>
      </c>
      <c r="H18" s="137">
        <f t="shared" si="4"/>
        <v>4320.8718650935079</v>
      </c>
      <c r="I18" s="137">
        <f t="shared" si="5"/>
        <v>69341.598453292681</v>
      </c>
      <c r="J18" s="139">
        <f t="shared" si="1"/>
        <v>87167.25654342366</v>
      </c>
      <c r="K18" s="140">
        <f t="shared" si="6"/>
        <v>22187.5</v>
      </c>
      <c r="L18" s="171">
        <f t="shared" si="8"/>
        <v>-426.66666666666669</v>
      </c>
      <c r="M18" s="218">
        <f t="shared" si="7"/>
        <v>108928.08987675699</v>
      </c>
    </row>
    <row r="19" spans="1:13" ht="14.25" customHeight="1" thickBot="1">
      <c r="A19" s="85" t="s">
        <v>88</v>
      </c>
      <c r="B19" s="84">
        <v>31238</v>
      </c>
      <c r="C19" s="83">
        <v>30378</v>
      </c>
      <c r="D19" s="83">
        <v>26419</v>
      </c>
      <c r="E19" s="82">
        <v>8488</v>
      </c>
      <c r="F19" s="137">
        <f t="shared" si="2"/>
        <v>389.37923188432393</v>
      </c>
      <c r="G19" s="137">
        <f t="shared" si="3"/>
        <v>1074.2560947396723</v>
      </c>
      <c r="H19" s="137">
        <f t="shared" si="4"/>
        <v>5859.5786985800305</v>
      </c>
      <c r="I19" s="137">
        <f t="shared" si="5"/>
        <v>2123.8867193690394</v>
      </c>
      <c r="J19" s="141">
        <f t="shared" si="1"/>
        <v>9447.1007445730647</v>
      </c>
      <c r="K19" s="140">
        <f t="shared" si="6"/>
        <v>22187.5</v>
      </c>
      <c r="L19" s="179">
        <f t="shared" si="8"/>
        <v>-426.66666666666669</v>
      </c>
      <c r="M19" s="219">
        <f t="shared" si="7"/>
        <v>31207.934077906397</v>
      </c>
    </row>
    <row r="20" spans="1:13" ht="14.25" customHeight="1" thickTop="1">
      <c r="A20" s="121" t="s">
        <v>81</v>
      </c>
      <c r="B20" s="122">
        <f t="shared" ref="B20:M20" si="9">SUM(B4:B19)</f>
        <v>799665</v>
      </c>
      <c r="C20" s="122">
        <f t="shared" si="9"/>
        <v>765022</v>
      </c>
      <c r="D20" s="122">
        <f t="shared" si="9"/>
        <v>507429</v>
      </c>
      <c r="E20" s="122">
        <f t="shared" si="9"/>
        <v>599467</v>
      </c>
      <c r="F20" s="123">
        <f t="shared" si="9"/>
        <v>27499.999999999996</v>
      </c>
      <c r="G20" s="123">
        <f t="shared" si="9"/>
        <v>27500</v>
      </c>
      <c r="H20" s="123">
        <f t="shared" si="9"/>
        <v>150000</v>
      </c>
      <c r="I20" s="123">
        <f t="shared" si="9"/>
        <v>150000</v>
      </c>
      <c r="J20" s="180">
        <f t="shared" si="9"/>
        <v>355000</v>
      </c>
      <c r="K20" s="181">
        <f t="shared" si="9"/>
        <v>355000</v>
      </c>
      <c r="L20" s="182">
        <f>SUM(L4:L19)</f>
        <v>0</v>
      </c>
      <c r="M20" s="220">
        <f t="shared" si="9"/>
        <v>710000</v>
      </c>
    </row>
    <row r="21" spans="1:13" ht="14.25" customHeight="1">
      <c r="A21" s="144" t="s">
        <v>160</v>
      </c>
      <c r="B21" s="127"/>
      <c r="C21" s="127"/>
      <c r="D21" s="127"/>
      <c r="E21" s="127"/>
      <c r="F21" s="127"/>
      <c r="G21" s="127"/>
      <c r="H21" s="127"/>
      <c r="I21" s="143"/>
      <c r="J21" s="143"/>
      <c r="K21" s="162" t="s">
        <v>118</v>
      </c>
      <c r="L21" s="162"/>
      <c r="M21" s="163">
        <f>225000</f>
        <v>225000</v>
      </c>
    </row>
    <row r="22" spans="1:13" ht="15" customHeight="1" thickBot="1">
      <c r="A22" s="144" t="s">
        <v>161</v>
      </c>
      <c r="B22" s="127"/>
      <c r="C22" s="127"/>
      <c r="D22" s="127"/>
      <c r="E22" s="127"/>
      <c r="F22" s="127"/>
      <c r="G22" s="127"/>
      <c r="H22" s="127"/>
      <c r="I22" s="127"/>
      <c r="J22" s="143"/>
      <c r="K22" s="162" t="s">
        <v>132</v>
      </c>
      <c r="L22" s="162"/>
      <c r="M22" s="165">
        <v>45000</v>
      </c>
    </row>
    <row r="23" spans="1:13" ht="12" customHeight="1" thickTop="1">
      <c r="B23" s="94"/>
      <c r="C23" s="94"/>
      <c r="D23" s="94"/>
      <c r="E23" s="94"/>
      <c r="F23" s="94"/>
      <c r="G23" s="94"/>
      <c r="H23" s="94"/>
      <c r="I23" s="94"/>
      <c r="J23" s="94"/>
      <c r="K23" s="135"/>
      <c r="L23" s="135"/>
      <c r="M23" s="159">
        <f>SUM(M20:M22)</f>
        <v>980000</v>
      </c>
    </row>
    <row r="24" spans="1:13" ht="12" customHeight="1">
      <c r="A24" s="173" t="s">
        <v>38</v>
      </c>
      <c r="B24" s="174">
        <f>'3. Annual Budget '!M30</f>
        <v>55000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77"/>
    </row>
    <row r="25" spans="1:13" ht="12" customHeight="1">
      <c r="A25" s="173" t="s">
        <v>124</v>
      </c>
      <c r="B25" s="174">
        <f>'3. Annual Budget '!M32</f>
        <v>300000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136"/>
    </row>
    <row r="26" spans="1:13" ht="12" customHeight="1">
      <c r="A26" s="173" t="s">
        <v>117</v>
      </c>
      <c r="B26" s="174">
        <f>'3. Annual Budget '!M5+'3. Annual Budget '!M6</f>
        <v>95000</v>
      </c>
      <c r="C26" s="175" t="s">
        <v>128</v>
      </c>
      <c r="D26" s="94"/>
      <c r="E26" s="94"/>
      <c r="F26" s="94"/>
      <c r="G26" s="94"/>
      <c r="H26" s="94"/>
      <c r="I26" s="94"/>
      <c r="J26" s="94"/>
      <c r="K26" s="94"/>
      <c r="L26" s="94"/>
      <c r="M26" s="77"/>
    </row>
    <row r="27" spans="1:13" ht="12" customHeight="1">
      <c r="A27" s="173" t="s">
        <v>125</v>
      </c>
      <c r="B27" s="174">
        <v>225000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77"/>
    </row>
    <row r="28" spans="1:13" ht="12" customHeight="1">
      <c r="A28" s="173" t="s">
        <v>126</v>
      </c>
      <c r="B28" s="174">
        <f>355000/16</f>
        <v>22187.5</v>
      </c>
      <c r="C28" s="175" t="s">
        <v>129</v>
      </c>
      <c r="D28" s="94"/>
      <c r="E28" s="94"/>
      <c r="F28" s="94"/>
      <c r="G28" s="94"/>
      <c r="H28" s="94"/>
      <c r="I28" s="94"/>
      <c r="J28" s="94"/>
      <c r="K28" s="94"/>
      <c r="L28" s="94"/>
      <c r="M28" s="77"/>
    </row>
    <row r="29" spans="1:13" ht="12" customHeight="1">
      <c r="A29" s="98"/>
      <c r="B29" s="98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77"/>
    </row>
    <row r="30" spans="1:13" ht="12" customHeight="1">
      <c r="A30" s="77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77"/>
    </row>
    <row r="31" spans="1:13" ht="12" customHeight="1">
      <c r="A31" s="77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77"/>
    </row>
    <row r="32" spans="1:13" ht="12" customHeight="1">
      <c r="A32" s="7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77"/>
    </row>
    <row r="33" spans="1:14" ht="12" customHeight="1">
      <c r="A33" s="7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77"/>
    </row>
    <row r="34" spans="1:14" ht="12" customHeight="1">
      <c r="A34" s="77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77"/>
    </row>
    <row r="35" spans="1:14" ht="12" customHeight="1">
      <c r="A35" s="77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77"/>
    </row>
    <row r="36" spans="1:14" ht="12" customHeight="1">
      <c r="A36" s="7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77"/>
    </row>
    <row r="37" spans="1:14" ht="12" customHeight="1">
      <c r="A37" s="7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77"/>
    </row>
    <row r="38" spans="1:14" ht="12" customHeight="1">
      <c r="A38" s="7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77"/>
    </row>
    <row r="39" spans="1:14" ht="12" customHeight="1">
      <c r="A39" s="7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77"/>
    </row>
    <row r="40" spans="1:14" ht="14.25" customHeight="1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77"/>
    </row>
    <row r="41" spans="1:14" ht="14.25" customHeight="1"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77"/>
    </row>
    <row r="42" spans="1:14" ht="14.25" customHeight="1"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77"/>
    </row>
    <row r="43" spans="1:14" ht="14.25" customHeight="1"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77"/>
    </row>
    <row r="44" spans="1:14" ht="14.25" customHeight="1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75"/>
    </row>
    <row r="45" spans="1:14" ht="19.5" customHeight="1"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</sheetData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workbookViewId="0">
      <selection activeCell="E29" sqref="E29"/>
    </sheetView>
  </sheetViews>
  <sheetFormatPr defaultRowHeight="12.75"/>
  <cols>
    <col min="1" max="1" width="18.7109375" style="73" customWidth="1"/>
    <col min="2" max="2" width="11.42578125" style="73" customWidth="1"/>
    <col min="3" max="3" width="10.85546875" style="73" customWidth="1"/>
    <col min="4" max="4" width="12.42578125" style="73" customWidth="1"/>
    <col min="5" max="5" width="10.42578125" style="74" customWidth="1"/>
    <col min="6" max="6" width="18.28515625" style="73" customWidth="1"/>
    <col min="7" max="7" width="16" style="73" customWidth="1"/>
    <col min="8" max="8" width="17" style="73" hidden="1" customWidth="1"/>
    <col min="9" max="9" width="16" style="73" hidden="1" customWidth="1"/>
    <col min="10" max="10" width="20.5703125" style="73" customWidth="1"/>
    <col min="11" max="11" width="15" style="73" customWidth="1"/>
    <col min="12" max="12" width="14.85546875" style="73" customWidth="1"/>
    <col min="13" max="13" width="1.85546875" style="73" customWidth="1"/>
    <col min="14" max="14" width="9.140625" style="73"/>
    <col min="15" max="15" width="9.85546875" style="73" bestFit="1" customWidth="1"/>
    <col min="16" max="16384" width="9.140625" style="73"/>
  </cols>
  <sheetData>
    <row r="1" spans="1:15" ht="18.75">
      <c r="A1" s="190" t="s">
        <v>168</v>
      </c>
    </row>
    <row r="2" spans="1:15" ht="12.75" customHeight="1">
      <c r="A2" s="124">
        <v>1</v>
      </c>
      <c r="B2" s="124">
        <f>A2+1</f>
        <v>2</v>
      </c>
      <c r="C2" s="124">
        <f>B2+1</f>
        <v>3</v>
      </c>
      <c r="D2" s="124">
        <f t="shared" ref="D2:L2" si="0">C2+1</f>
        <v>4</v>
      </c>
      <c r="E2" s="124">
        <f t="shared" si="0"/>
        <v>5</v>
      </c>
      <c r="F2" s="124">
        <f t="shared" si="0"/>
        <v>6</v>
      </c>
      <c r="G2" s="124">
        <f t="shared" si="0"/>
        <v>7</v>
      </c>
      <c r="H2" s="124">
        <f t="shared" si="0"/>
        <v>8</v>
      </c>
      <c r="I2" s="124">
        <f t="shared" si="0"/>
        <v>9</v>
      </c>
      <c r="J2" s="124">
        <f t="shared" si="0"/>
        <v>10</v>
      </c>
      <c r="K2" s="124">
        <f t="shared" si="0"/>
        <v>11</v>
      </c>
      <c r="L2" s="124">
        <f t="shared" si="0"/>
        <v>12</v>
      </c>
      <c r="M2" s="93"/>
    </row>
    <row r="3" spans="1:15" ht="69" customHeight="1">
      <c r="A3" s="90" t="s">
        <v>111</v>
      </c>
      <c r="B3" s="88" t="s">
        <v>110</v>
      </c>
      <c r="C3" s="89" t="s">
        <v>109</v>
      </c>
      <c r="D3" s="91" t="s">
        <v>108</v>
      </c>
      <c r="E3" s="151" t="s">
        <v>107</v>
      </c>
      <c r="F3" s="153" t="s">
        <v>121</v>
      </c>
      <c r="G3" s="153" t="s">
        <v>133</v>
      </c>
      <c r="H3" s="154" t="s">
        <v>104</v>
      </c>
      <c r="I3" s="153" t="s">
        <v>103</v>
      </c>
      <c r="J3" s="152" t="s">
        <v>113</v>
      </c>
      <c r="K3" s="88" t="s">
        <v>131</v>
      </c>
      <c r="L3" s="88" t="s">
        <v>155</v>
      </c>
    </row>
    <row r="4" spans="1:15" ht="14.25" customHeight="1">
      <c r="A4" s="81" t="s">
        <v>102</v>
      </c>
      <c r="B4" s="80">
        <v>9611</v>
      </c>
      <c r="C4" s="79">
        <v>52394</v>
      </c>
      <c r="D4" s="79">
        <v>41439</v>
      </c>
      <c r="E4" s="147">
        <v>1629</v>
      </c>
      <c r="F4" s="137">
        <f>(E4/$E$20)*($B$29-$B$27)/2</f>
        <v>1025.8237734520833</v>
      </c>
      <c r="G4" s="137">
        <f>(B4/$B$20)*($B$29-$B$27)/2</f>
        <v>4537.0905316601329</v>
      </c>
      <c r="H4" s="137"/>
      <c r="I4" s="137"/>
      <c r="J4" s="150">
        <f t="shared" ref="J4:J19" si="1">F4+G4+H4+I4</f>
        <v>5562.9143051122164</v>
      </c>
      <c r="K4" s="171">
        <f>-6400/15</f>
        <v>-426.66666666666669</v>
      </c>
      <c r="L4" s="129">
        <f>K4+J4</f>
        <v>5136.2476384455495</v>
      </c>
    </row>
    <row r="5" spans="1:15" ht="14.25" customHeight="1">
      <c r="A5" s="81" t="s">
        <v>101</v>
      </c>
      <c r="B5" s="80">
        <v>138809</v>
      </c>
      <c r="C5" s="79">
        <v>72973</v>
      </c>
      <c r="D5" s="79">
        <v>62944</v>
      </c>
      <c r="E5" s="147">
        <v>8047</v>
      </c>
      <c r="F5" s="137">
        <f t="shared" ref="F5:F19" si="2">(E5/$E$20)*($B$29-$B$27)/2</f>
        <v>5067.4057120742264</v>
      </c>
      <c r="G5" s="137">
        <f t="shared" ref="G5:G19" si="3">(B5/$B$20)*($B$29-$B$27)/2</f>
        <v>65527.936698492493</v>
      </c>
      <c r="H5" s="137"/>
      <c r="I5" s="137"/>
      <c r="J5" s="150">
        <f t="shared" si="1"/>
        <v>70595.342410566722</v>
      </c>
      <c r="K5" s="171">
        <f>-6400/15</f>
        <v>-426.66666666666669</v>
      </c>
      <c r="L5" s="129">
        <f t="shared" ref="L5:L19" si="4">K5+J5</f>
        <v>70168.67574390005</v>
      </c>
    </row>
    <row r="6" spans="1:15" ht="14.25" customHeight="1">
      <c r="A6" s="81" t="s">
        <v>87</v>
      </c>
      <c r="B6" s="80">
        <v>63500</v>
      </c>
      <c r="C6" s="79">
        <v>126689</v>
      </c>
      <c r="D6" s="79">
        <v>22155</v>
      </c>
      <c r="E6" s="147">
        <v>10498</v>
      </c>
      <c r="F6" s="137">
        <f t="shared" si="2"/>
        <v>6610.8643178023149</v>
      </c>
      <c r="G6" s="137">
        <f t="shared" si="3"/>
        <v>29976.61520761819</v>
      </c>
      <c r="H6" s="137"/>
      <c r="I6" s="137"/>
      <c r="J6" s="150">
        <f>F6+G6+H6+I6</f>
        <v>36587.479525420502</v>
      </c>
      <c r="K6" s="171">
        <v>6400</v>
      </c>
      <c r="L6" s="129">
        <f>K6+J6</f>
        <v>42987.479525420502</v>
      </c>
      <c r="O6" s="166">
        <f>L6+L23</f>
        <v>42987.479525420502</v>
      </c>
    </row>
    <row r="7" spans="1:15" ht="14.25" customHeight="1">
      <c r="A7" s="81" t="s">
        <v>100</v>
      </c>
      <c r="B7" s="80">
        <v>1153</v>
      </c>
      <c r="C7" s="87">
        <v>923</v>
      </c>
      <c r="D7" s="87">
        <v>469</v>
      </c>
      <c r="E7" s="147">
        <v>1558</v>
      </c>
      <c r="F7" s="137">
        <f t="shared" si="2"/>
        <v>981.11322224576168</v>
      </c>
      <c r="G7" s="137">
        <f t="shared" si="3"/>
        <v>544.29980054147677</v>
      </c>
      <c r="H7" s="137"/>
      <c r="I7" s="137"/>
      <c r="J7" s="150">
        <f t="shared" si="1"/>
        <v>1525.4130227872383</v>
      </c>
      <c r="K7" s="171">
        <f t="shared" ref="K7:K19" si="5">-6400/15</f>
        <v>-426.66666666666669</v>
      </c>
      <c r="L7" s="129">
        <f t="shared" si="4"/>
        <v>1098.7463561205716</v>
      </c>
    </row>
    <row r="8" spans="1:15" ht="14.25" customHeight="1">
      <c r="A8" s="81" t="s">
        <v>99</v>
      </c>
      <c r="B8" s="87">
        <v>485</v>
      </c>
      <c r="C8" s="87">
        <v>650</v>
      </c>
      <c r="D8" s="87">
        <v>650</v>
      </c>
      <c r="E8" s="148">
        <v>2819</v>
      </c>
      <c r="F8" s="137">
        <f t="shared" si="2"/>
        <v>1775.1978007129667</v>
      </c>
      <c r="G8" s="137">
        <f t="shared" si="3"/>
        <v>228.95525001094208</v>
      </c>
      <c r="H8" s="137"/>
      <c r="I8" s="137"/>
      <c r="J8" s="150">
        <f t="shared" si="1"/>
        <v>2004.1530507239088</v>
      </c>
      <c r="K8" s="171">
        <f t="shared" si="5"/>
        <v>-426.66666666666669</v>
      </c>
      <c r="L8" s="129">
        <f t="shared" si="4"/>
        <v>1577.486384057242</v>
      </c>
    </row>
    <row r="9" spans="1:15" ht="14.25" customHeight="1">
      <c r="A9" s="81" t="s">
        <v>98</v>
      </c>
      <c r="B9" s="80">
        <v>14520</v>
      </c>
      <c r="C9" s="79">
        <v>9167</v>
      </c>
      <c r="D9" s="79">
        <v>8981</v>
      </c>
      <c r="E9" s="147">
        <v>58174</v>
      </c>
      <c r="F9" s="137">
        <f t="shared" si="2"/>
        <v>36633.684589810618</v>
      </c>
      <c r="G9" s="137">
        <f t="shared" si="3"/>
        <v>6854.4953199152151</v>
      </c>
      <c r="H9" s="137"/>
      <c r="I9" s="137"/>
      <c r="J9" s="150">
        <f t="shared" si="1"/>
        <v>43488.179909725834</v>
      </c>
      <c r="K9" s="171">
        <f t="shared" si="5"/>
        <v>-426.66666666666669</v>
      </c>
      <c r="L9" s="129">
        <f t="shared" si="4"/>
        <v>43061.513243059169</v>
      </c>
    </row>
    <row r="10" spans="1:15" ht="14.25" customHeight="1">
      <c r="A10" s="81" t="s">
        <v>97</v>
      </c>
      <c r="B10" s="80">
        <v>18985</v>
      </c>
      <c r="C10" s="79">
        <v>13596</v>
      </c>
      <c r="D10" s="79">
        <v>13378</v>
      </c>
      <c r="E10" s="147">
        <v>64279</v>
      </c>
      <c r="F10" s="137">
        <f t="shared" si="2"/>
        <v>40478.162267480948</v>
      </c>
      <c r="G10" s="137">
        <f t="shared" si="3"/>
        <v>8962.2998380571862</v>
      </c>
      <c r="H10" s="137"/>
      <c r="I10" s="137"/>
      <c r="J10" s="150">
        <f t="shared" si="1"/>
        <v>49440.462105538136</v>
      </c>
      <c r="K10" s="171">
        <f t="shared" si="5"/>
        <v>-426.66666666666669</v>
      </c>
      <c r="L10" s="129">
        <f t="shared" si="4"/>
        <v>49013.795438871472</v>
      </c>
    </row>
    <row r="11" spans="1:15" ht="14.25" customHeight="1">
      <c r="A11" s="81" t="s">
        <v>96</v>
      </c>
      <c r="B11" s="80">
        <v>146158</v>
      </c>
      <c r="C11" s="79">
        <v>148885</v>
      </c>
      <c r="D11" s="79">
        <v>70472</v>
      </c>
      <c r="E11" s="147">
        <v>21977</v>
      </c>
      <c r="F11" s="137">
        <f t="shared" si="2"/>
        <v>13839.489913539861</v>
      </c>
      <c r="G11" s="137">
        <f t="shared" si="3"/>
        <v>68997.198827008804</v>
      </c>
      <c r="H11" s="137"/>
      <c r="I11" s="137"/>
      <c r="J11" s="150">
        <f t="shared" si="1"/>
        <v>82836.688740548663</v>
      </c>
      <c r="K11" s="171">
        <f t="shared" si="5"/>
        <v>-426.66666666666669</v>
      </c>
      <c r="L11" s="129">
        <f t="shared" si="4"/>
        <v>82410.022073881992</v>
      </c>
    </row>
    <row r="12" spans="1:15" ht="14.25" customHeight="1">
      <c r="A12" s="81" t="s">
        <v>95</v>
      </c>
      <c r="B12" s="80">
        <v>39952</v>
      </c>
      <c r="C12" s="79">
        <v>31785</v>
      </c>
      <c r="D12" s="79">
        <v>23524</v>
      </c>
      <c r="E12" s="147">
        <v>1890</v>
      </c>
      <c r="F12" s="137">
        <f t="shared" si="2"/>
        <v>1190.1822785908148</v>
      </c>
      <c r="G12" s="137">
        <f t="shared" si="3"/>
        <v>18860.247728736405</v>
      </c>
      <c r="H12" s="137"/>
      <c r="I12" s="137"/>
      <c r="J12" s="150">
        <f t="shared" si="1"/>
        <v>20050.430007327221</v>
      </c>
      <c r="K12" s="171">
        <f t="shared" si="5"/>
        <v>-426.66666666666669</v>
      </c>
      <c r="L12" s="129">
        <f t="shared" si="4"/>
        <v>19623.763340660553</v>
      </c>
    </row>
    <row r="13" spans="1:15" ht="14.25" customHeight="1">
      <c r="A13" s="81" t="s">
        <v>94</v>
      </c>
      <c r="B13" s="80">
        <v>4532</v>
      </c>
      <c r="C13" s="79">
        <v>18062</v>
      </c>
      <c r="D13" s="79">
        <v>16167</v>
      </c>
      <c r="E13" s="147">
        <v>7136</v>
      </c>
      <c r="F13" s="137">
        <f t="shared" si="2"/>
        <v>4493.7252592719869</v>
      </c>
      <c r="G13" s="137">
        <f t="shared" si="3"/>
        <v>2139.4333877311124</v>
      </c>
      <c r="H13" s="137"/>
      <c r="I13" s="137"/>
      <c r="J13" s="150">
        <f t="shared" si="1"/>
        <v>6633.1586470030998</v>
      </c>
      <c r="K13" s="171">
        <f t="shared" si="5"/>
        <v>-426.66666666666669</v>
      </c>
      <c r="L13" s="129">
        <f t="shared" si="4"/>
        <v>6206.4919803364328</v>
      </c>
    </row>
    <row r="14" spans="1:15" ht="14.25" customHeight="1">
      <c r="A14" s="81" t="s">
        <v>93</v>
      </c>
      <c r="B14" s="80">
        <v>165025</v>
      </c>
      <c r="C14" s="79">
        <v>99816</v>
      </c>
      <c r="D14" s="79">
        <v>72708</v>
      </c>
      <c r="E14" s="147">
        <v>41134</v>
      </c>
      <c r="F14" s="137">
        <f t="shared" si="2"/>
        <v>25903.152300293426</v>
      </c>
      <c r="G14" s="137">
        <f t="shared" si="3"/>
        <v>77903.794088774666</v>
      </c>
      <c r="H14" s="137"/>
      <c r="I14" s="137"/>
      <c r="J14" s="150">
        <f t="shared" si="1"/>
        <v>103806.94638906809</v>
      </c>
      <c r="K14" s="171">
        <f t="shared" si="5"/>
        <v>-426.66666666666669</v>
      </c>
      <c r="L14" s="129">
        <f t="shared" si="4"/>
        <v>103380.27972240142</v>
      </c>
    </row>
    <row r="15" spans="1:15" ht="14.25" customHeight="1">
      <c r="A15" s="81" t="s">
        <v>92</v>
      </c>
      <c r="B15" s="80">
        <v>74448</v>
      </c>
      <c r="C15" s="79">
        <v>49714</v>
      </c>
      <c r="D15" s="79">
        <v>43016</v>
      </c>
      <c r="E15" s="147">
        <v>16859</v>
      </c>
      <c r="F15" s="137">
        <f t="shared" si="2"/>
        <v>10616.551870244735</v>
      </c>
      <c r="G15" s="137">
        <f t="shared" si="3"/>
        <v>35144.866913019825</v>
      </c>
      <c r="H15" s="137"/>
      <c r="I15" s="137"/>
      <c r="J15" s="150">
        <f t="shared" si="1"/>
        <v>45761.418783264562</v>
      </c>
      <c r="K15" s="171">
        <f t="shared" si="5"/>
        <v>-426.66666666666669</v>
      </c>
      <c r="L15" s="129">
        <f t="shared" si="4"/>
        <v>45334.752116597898</v>
      </c>
    </row>
    <row r="16" spans="1:15" ht="14.25" customHeight="1">
      <c r="A16" s="81" t="s">
        <v>91</v>
      </c>
      <c r="B16" s="80">
        <v>8183</v>
      </c>
      <c r="C16" s="79">
        <v>6713</v>
      </c>
      <c r="D16" s="79">
        <v>6645</v>
      </c>
      <c r="E16" s="147">
        <v>39779</v>
      </c>
      <c r="F16" s="137">
        <f t="shared" si="2"/>
        <v>25049.873470933348</v>
      </c>
      <c r="G16" s="137">
        <f t="shared" si="3"/>
        <v>3862.9707439990498</v>
      </c>
      <c r="H16" s="137"/>
      <c r="I16" s="137"/>
      <c r="J16" s="150">
        <f t="shared" si="1"/>
        <v>28912.844214932396</v>
      </c>
      <c r="K16" s="171">
        <f t="shared" si="5"/>
        <v>-426.66666666666669</v>
      </c>
      <c r="L16" s="129">
        <f t="shared" si="4"/>
        <v>28486.177548265729</v>
      </c>
    </row>
    <row r="17" spans="1:14" ht="14.25" customHeight="1">
      <c r="A17" s="81" t="s">
        <v>90</v>
      </c>
      <c r="B17" s="80">
        <v>60031</v>
      </c>
      <c r="C17" s="79">
        <v>63270</v>
      </c>
      <c r="D17" s="79">
        <v>59054</v>
      </c>
      <c r="E17" s="147">
        <v>38080</v>
      </c>
      <c r="F17" s="137">
        <f t="shared" si="2"/>
        <v>23979.968872348272</v>
      </c>
      <c r="G17" s="137">
        <f t="shared" si="3"/>
        <v>28338.995079189412</v>
      </c>
      <c r="H17" s="137"/>
      <c r="I17" s="137"/>
      <c r="J17" s="150">
        <f t="shared" si="1"/>
        <v>52318.963951537684</v>
      </c>
      <c r="K17" s="171">
        <f t="shared" si="5"/>
        <v>-426.66666666666669</v>
      </c>
      <c r="L17" s="129">
        <f t="shared" si="4"/>
        <v>51892.29728487102</v>
      </c>
    </row>
    <row r="18" spans="1:14" ht="14.25" customHeight="1">
      <c r="A18" s="81" t="s">
        <v>89</v>
      </c>
      <c r="B18" s="80">
        <v>23035</v>
      </c>
      <c r="C18" s="79">
        <v>40007</v>
      </c>
      <c r="D18" s="79">
        <v>39408</v>
      </c>
      <c r="E18" s="147">
        <v>277120</v>
      </c>
      <c r="F18" s="137">
        <f t="shared" si="2"/>
        <v>174509.68944078658</v>
      </c>
      <c r="G18" s="137">
        <f t="shared" si="3"/>
        <v>10874.194193818661</v>
      </c>
      <c r="H18" s="137"/>
      <c r="I18" s="137"/>
      <c r="J18" s="156">
        <f t="shared" si="1"/>
        <v>185383.88363460524</v>
      </c>
      <c r="K18" s="171">
        <f t="shared" si="5"/>
        <v>-426.66666666666669</v>
      </c>
      <c r="L18" s="129">
        <f t="shared" si="4"/>
        <v>184957.21696793858</v>
      </c>
    </row>
    <row r="19" spans="1:14" ht="14.25" customHeight="1" thickBot="1">
      <c r="A19" s="85" t="s">
        <v>88</v>
      </c>
      <c r="B19" s="84">
        <v>31238</v>
      </c>
      <c r="C19" s="83">
        <v>30378</v>
      </c>
      <c r="D19" s="83">
        <v>26419</v>
      </c>
      <c r="E19" s="149">
        <v>8488</v>
      </c>
      <c r="F19" s="138">
        <f t="shared" si="2"/>
        <v>5345.1149104120832</v>
      </c>
      <c r="G19" s="138">
        <f t="shared" si="3"/>
        <v>14746.60639142641</v>
      </c>
      <c r="H19" s="137"/>
      <c r="I19" s="137"/>
      <c r="J19" s="157">
        <f t="shared" si="1"/>
        <v>20091.721301838494</v>
      </c>
      <c r="K19" s="171">
        <f t="shared" si="5"/>
        <v>-426.66666666666669</v>
      </c>
      <c r="L19" s="130">
        <f t="shared" si="4"/>
        <v>19665.054635171826</v>
      </c>
    </row>
    <row r="20" spans="1:14" ht="14.25" customHeight="1" thickTop="1">
      <c r="A20" s="121" t="s">
        <v>81</v>
      </c>
      <c r="B20" s="122">
        <f t="shared" ref="B20:L20" si="6">SUM(B4:B19)</f>
        <v>799665</v>
      </c>
      <c r="C20" s="122">
        <f t="shared" si="6"/>
        <v>765022</v>
      </c>
      <c r="D20" s="122">
        <f t="shared" si="6"/>
        <v>507429</v>
      </c>
      <c r="E20" s="122">
        <f t="shared" si="6"/>
        <v>599467</v>
      </c>
      <c r="F20" s="146">
        <f t="shared" si="6"/>
        <v>377500</v>
      </c>
      <c r="G20" s="146">
        <f t="shared" si="6"/>
        <v>377500</v>
      </c>
      <c r="H20" s="146">
        <f t="shared" si="6"/>
        <v>0</v>
      </c>
      <c r="I20" s="155">
        <f t="shared" si="6"/>
        <v>0</v>
      </c>
      <c r="J20" s="160">
        <f t="shared" si="6"/>
        <v>755000.00000000012</v>
      </c>
      <c r="K20" s="172">
        <f t="shared" si="6"/>
        <v>0</v>
      </c>
      <c r="L20" s="170">
        <f t="shared" si="6"/>
        <v>754999.99999999988</v>
      </c>
    </row>
    <row r="21" spans="1:14" ht="14.25" customHeight="1" thickBot="1">
      <c r="A21" s="144" t="s">
        <v>123</v>
      </c>
      <c r="B21" s="134"/>
      <c r="C21" s="134"/>
      <c r="D21" s="133"/>
      <c r="E21" s="144"/>
      <c r="F21" s="127"/>
      <c r="G21" s="127"/>
      <c r="H21" s="127"/>
      <c r="I21" s="142" t="s">
        <v>115</v>
      </c>
      <c r="J21" s="161"/>
      <c r="K21" s="167" t="s">
        <v>118</v>
      </c>
      <c r="L21" s="165">
        <f>B27</f>
        <v>225000</v>
      </c>
    </row>
    <row r="22" spans="1:14" ht="14.25" customHeight="1" thickTop="1">
      <c r="A22" s="144"/>
      <c r="B22" s="133"/>
      <c r="C22" s="133"/>
      <c r="D22" s="133"/>
      <c r="E22" s="133"/>
      <c r="F22" s="127"/>
      <c r="G22" s="127"/>
      <c r="H22" s="127"/>
      <c r="I22" s="127"/>
      <c r="J22" s="164"/>
      <c r="K22" s="167"/>
      <c r="L22" s="192">
        <f>SUM(L20:L21)</f>
        <v>979999.99999999988</v>
      </c>
      <c r="N22" s="135"/>
    </row>
    <row r="23" spans="1:14" ht="15" customHeight="1">
      <c r="A23" s="133"/>
      <c r="B23" s="133"/>
      <c r="C23" s="133"/>
      <c r="D23" s="133"/>
      <c r="E23" s="133"/>
      <c r="F23" s="133"/>
      <c r="G23" s="133"/>
      <c r="H23" s="133"/>
      <c r="I23" s="127"/>
      <c r="J23" s="164"/>
      <c r="K23" s="168"/>
      <c r="L23" s="169"/>
      <c r="N23" s="135"/>
    </row>
    <row r="24" spans="1:14" ht="12" customHeight="1">
      <c r="A24" s="158" t="s">
        <v>86</v>
      </c>
      <c r="B24" s="95">
        <f>'3. Annual Budget '!M30</f>
        <v>55000</v>
      </c>
      <c r="C24" s="94"/>
      <c r="D24" s="94"/>
      <c r="E24" s="94"/>
      <c r="F24" s="94"/>
      <c r="G24" s="94"/>
      <c r="H24" s="94"/>
      <c r="I24" s="94"/>
      <c r="J24" s="135"/>
      <c r="K24" s="135"/>
      <c r="L24" s="159"/>
      <c r="N24" s="135"/>
    </row>
    <row r="25" spans="1:14" ht="12" customHeight="1">
      <c r="A25" s="158" t="s">
        <v>85</v>
      </c>
      <c r="B25" s="95">
        <f>'3. Annual Budget '!M32</f>
        <v>300000</v>
      </c>
      <c r="C25" s="94"/>
      <c r="D25" s="94"/>
      <c r="E25" s="94"/>
      <c r="F25" s="94"/>
      <c r="G25" s="94"/>
      <c r="H25" s="94"/>
      <c r="I25" s="94"/>
      <c r="J25" s="94"/>
      <c r="K25" s="94"/>
      <c r="L25" s="145"/>
    </row>
    <row r="26" spans="1:14" ht="12" customHeight="1">
      <c r="A26" s="158" t="s">
        <v>116</v>
      </c>
      <c r="B26" s="95">
        <f>'3. Annual Budget '!M5+'3. Annual Budget '!M6</f>
        <v>95000</v>
      </c>
      <c r="C26" s="94"/>
      <c r="D26" s="94"/>
      <c r="E26" s="94"/>
      <c r="F26" s="94"/>
      <c r="G26" s="94"/>
      <c r="H26" s="94"/>
      <c r="I26" s="94"/>
      <c r="J26" s="94"/>
      <c r="K26" s="94"/>
      <c r="L26" s="77"/>
    </row>
    <row r="27" spans="1:14" ht="12" customHeight="1">
      <c r="A27" s="158" t="s">
        <v>84</v>
      </c>
      <c r="B27" s="95">
        <v>225000</v>
      </c>
      <c r="C27" s="94"/>
      <c r="D27" s="94"/>
      <c r="E27" s="94"/>
      <c r="F27" s="94"/>
      <c r="G27" s="94"/>
      <c r="H27" s="94"/>
      <c r="I27" s="94"/>
      <c r="J27" s="94"/>
      <c r="K27" s="94"/>
      <c r="L27" s="77"/>
    </row>
    <row r="28" spans="1:14" ht="12" customHeight="1">
      <c r="A28" s="158" t="s">
        <v>83</v>
      </c>
      <c r="B28" s="174">
        <f>355000/16</f>
        <v>22187.5</v>
      </c>
      <c r="C28" s="94"/>
      <c r="D28" s="94"/>
      <c r="E28" s="94"/>
      <c r="F28" s="94"/>
      <c r="G28" s="94"/>
      <c r="H28" s="94"/>
      <c r="I28" s="94"/>
      <c r="J28" s="94"/>
      <c r="K28" s="94"/>
      <c r="L28" s="77"/>
    </row>
    <row r="29" spans="1:14" ht="12" customHeight="1">
      <c r="A29" s="158" t="s">
        <v>120</v>
      </c>
      <c r="B29" s="76">
        <v>980000</v>
      </c>
      <c r="C29" s="94"/>
      <c r="D29" s="94"/>
      <c r="E29" s="94"/>
      <c r="F29" s="94"/>
      <c r="G29" s="94"/>
      <c r="H29" s="94"/>
      <c r="I29" s="94"/>
      <c r="J29" s="94"/>
      <c r="K29" s="94"/>
      <c r="L29" s="77"/>
    </row>
    <row r="30" spans="1:14" ht="12" customHeight="1">
      <c r="A30" s="76"/>
      <c r="B30" s="76"/>
      <c r="C30" s="94"/>
      <c r="D30" s="94"/>
      <c r="E30" s="94"/>
      <c r="F30" s="94"/>
      <c r="G30" s="94"/>
      <c r="H30" s="94"/>
      <c r="I30" s="94"/>
      <c r="J30" s="94"/>
      <c r="K30" s="94"/>
      <c r="L30" s="136"/>
    </row>
    <row r="31" spans="1:14" ht="12" customHeight="1">
      <c r="A31" s="77"/>
      <c r="B31" s="94"/>
      <c r="C31" s="94"/>
      <c r="D31" s="94"/>
      <c r="E31" s="94" t="s">
        <v>119</v>
      </c>
      <c r="F31" s="94"/>
      <c r="G31" s="94"/>
      <c r="H31" s="94"/>
      <c r="I31" s="94"/>
      <c r="J31" s="94"/>
      <c r="K31" s="94"/>
      <c r="L31" s="77"/>
    </row>
    <row r="32" spans="1:14" ht="12" customHeight="1">
      <c r="A32" s="7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77"/>
    </row>
    <row r="33" spans="1:13" ht="12" customHeight="1">
      <c r="A33" s="7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77"/>
    </row>
    <row r="34" spans="1:13" ht="12" customHeight="1">
      <c r="A34" s="77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77"/>
    </row>
    <row r="35" spans="1:13" ht="12" customHeight="1">
      <c r="A35" s="77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77"/>
    </row>
    <row r="36" spans="1:13" ht="12" customHeight="1">
      <c r="A36" s="7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77"/>
    </row>
    <row r="37" spans="1:13" ht="12" customHeight="1">
      <c r="A37" s="7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77"/>
    </row>
    <row r="38" spans="1:13" ht="12" customHeight="1">
      <c r="A38" s="7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77"/>
    </row>
    <row r="39" spans="1:13" ht="12" customHeight="1">
      <c r="A39" s="7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77"/>
    </row>
    <row r="40" spans="1:13" ht="14.25" customHeight="1">
      <c r="A40" s="76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77"/>
    </row>
    <row r="41" spans="1:13" ht="14.25" customHeight="1">
      <c r="A41" s="7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77"/>
    </row>
    <row r="42" spans="1:13" ht="14.25" customHeight="1">
      <c r="A42" s="76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77"/>
    </row>
    <row r="43" spans="1:13" ht="14.25" customHeight="1">
      <c r="A43" s="7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77"/>
    </row>
    <row r="44" spans="1:13" ht="14.25" customHeight="1">
      <c r="A44" s="76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75"/>
    </row>
    <row r="45" spans="1:13" ht="19.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</sheetData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L3" sqref="L3:L22"/>
    </sheetView>
  </sheetViews>
  <sheetFormatPr defaultRowHeight="12.75"/>
  <cols>
    <col min="1" max="1" width="18.7109375" style="73" customWidth="1"/>
    <col min="2" max="2" width="11.42578125" style="73" customWidth="1"/>
    <col min="3" max="3" width="10.85546875" style="73" customWidth="1"/>
    <col min="4" max="4" width="12.42578125" style="73" customWidth="1"/>
    <col min="5" max="5" width="10.42578125" style="74" customWidth="1"/>
    <col min="6" max="6" width="18.28515625" style="73" hidden="1" customWidth="1"/>
    <col min="7" max="7" width="16" style="73" hidden="1" customWidth="1"/>
    <col min="8" max="8" width="17" style="73" hidden="1" customWidth="1"/>
    <col min="9" max="9" width="16" style="73" hidden="1" customWidth="1"/>
    <col min="10" max="10" width="20.5703125" style="73" customWidth="1"/>
    <col min="11" max="11" width="17.5703125" style="73" customWidth="1"/>
    <col min="12" max="12" width="14.85546875" style="73" customWidth="1"/>
    <col min="13" max="13" width="1.85546875" style="73" customWidth="1"/>
    <col min="14" max="14" width="9.140625" style="73"/>
    <col min="15" max="15" width="9.85546875" style="73" bestFit="1" customWidth="1"/>
    <col min="16" max="16384" width="9.140625" style="73"/>
  </cols>
  <sheetData>
    <row r="1" spans="1:15" ht="21">
      <c r="A1" s="191" t="s">
        <v>169</v>
      </c>
    </row>
    <row r="2" spans="1:15" ht="12.75" customHeight="1">
      <c r="A2" s="124">
        <v>1</v>
      </c>
      <c r="B2" s="124">
        <f>A2+1</f>
        <v>2</v>
      </c>
      <c r="C2" s="124">
        <f>B2+1</f>
        <v>3</v>
      </c>
      <c r="D2" s="124">
        <f t="shared" ref="D2:L2" si="0">C2+1</f>
        <v>4</v>
      </c>
      <c r="E2" s="124">
        <f t="shared" si="0"/>
        <v>5</v>
      </c>
      <c r="F2" s="124">
        <f t="shared" si="0"/>
        <v>6</v>
      </c>
      <c r="G2" s="124">
        <f t="shared" si="0"/>
        <v>7</v>
      </c>
      <c r="H2" s="124">
        <f t="shared" si="0"/>
        <v>8</v>
      </c>
      <c r="I2" s="124">
        <f t="shared" si="0"/>
        <v>9</v>
      </c>
      <c r="J2" s="124">
        <f t="shared" si="0"/>
        <v>10</v>
      </c>
      <c r="K2" s="124">
        <f t="shared" si="0"/>
        <v>11</v>
      </c>
      <c r="L2" s="124">
        <f t="shared" si="0"/>
        <v>12</v>
      </c>
      <c r="M2" s="93"/>
    </row>
    <row r="3" spans="1:15" ht="69" customHeight="1">
      <c r="A3" s="90" t="s">
        <v>111</v>
      </c>
      <c r="B3" s="88" t="s">
        <v>110</v>
      </c>
      <c r="C3" s="89" t="s">
        <v>109</v>
      </c>
      <c r="D3" s="91" t="s">
        <v>108</v>
      </c>
      <c r="E3" s="151" t="s">
        <v>107</v>
      </c>
      <c r="F3" s="153" t="s">
        <v>121</v>
      </c>
      <c r="G3" s="153" t="s">
        <v>122</v>
      </c>
      <c r="H3" s="154" t="s">
        <v>104</v>
      </c>
      <c r="I3" s="193" t="s">
        <v>103</v>
      </c>
      <c r="J3" s="198" t="s">
        <v>130</v>
      </c>
      <c r="K3" s="195" t="s">
        <v>131</v>
      </c>
      <c r="L3" s="88" t="s">
        <v>154</v>
      </c>
    </row>
    <row r="4" spans="1:15" ht="14.25" customHeight="1">
      <c r="A4" s="81" t="s">
        <v>102</v>
      </c>
      <c r="B4" s="80">
        <v>9611</v>
      </c>
      <c r="C4" s="79">
        <v>52394</v>
      </c>
      <c r="D4" s="79">
        <v>41439</v>
      </c>
      <c r="E4" s="147">
        <v>1629</v>
      </c>
      <c r="F4" s="128"/>
      <c r="G4" s="137"/>
      <c r="H4" s="137"/>
      <c r="I4" s="194"/>
      <c r="J4" s="199">
        <f>($B$29-225000)/16</f>
        <v>47187.5</v>
      </c>
      <c r="K4" s="196">
        <f>-6400/15</f>
        <v>-426.66666666666669</v>
      </c>
      <c r="L4" s="129">
        <f>K4+J4</f>
        <v>46760.833333333336</v>
      </c>
    </row>
    <row r="5" spans="1:15" ht="14.25" customHeight="1">
      <c r="A5" s="81" t="s">
        <v>101</v>
      </c>
      <c r="B5" s="80">
        <v>138809</v>
      </c>
      <c r="C5" s="79">
        <v>72973</v>
      </c>
      <c r="D5" s="79">
        <v>62944</v>
      </c>
      <c r="E5" s="147">
        <v>8047</v>
      </c>
      <c r="F5" s="137"/>
      <c r="G5" s="137"/>
      <c r="H5" s="137"/>
      <c r="I5" s="194"/>
      <c r="J5" s="199">
        <f t="shared" ref="J5:J19" si="1">($B$29-225000)/16</f>
        <v>47187.5</v>
      </c>
      <c r="K5" s="196">
        <f>-6400/15</f>
        <v>-426.66666666666669</v>
      </c>
      <c r="L5" s="129">
        <f t="shared" ref="L5:L19" si="2">K5+J5</f>
        <v>46760.833333333336</v>
      </c>
    </row>
    <row r="6" spans="1:15" ht="14.25" customHeight="1">
      <c r="A6" s="81" t="s">
        <v>87</v>
      </c>
      <c r="B6" s="80">
        <v>63500</v>
      </c>
      <c r="C6" s="79">
        <v>126689</v>
      </c>
      <c r="D6" s="79">
        <v>22155</v>
      </c>
      <c r="E6" s="147">
        <v>10498</v>
      </c>
      <c r="F6" s="137"/>
      <c r="G6" s="137"/>
      <c r="H6" s="137"/>
      <c r="I6" s="194"/>
      <c r="J6" s="199">
        <f t="shared" si="1"/>
        <v>47187.5</v>
      </c>
      <c r="K6" s="196">
        <v>6400</v>
      </c>
      <c r="L6" s="129">
        <f>K6+J6</f>
        <v>53587.5</v>
      </c>
      <c r="O6" s="166"/>
    </row>
    <row r="7" spans="1:15" ht="14.25" customHeight="1">
      <c r="A7" s="81" t="s">
        <v>100</v>
      </c>
      <c r="B7" s="80">
        <v>1153</v>
      </c>
      <c r="C7" s="87">
        <v>923</v>
      </c>
      <c r="D7" s="87">
        <v>469</v>
      </c>
      <c r="E7" s="147">
        <v>1558</v>
      </c>
      <c r="F7" s="137"/>
      <c r="G7" s="137"/>
      <c r="H7" s="137"/>
      <c r="I7" s="194"/>
      <c r="J7" s="199">
        <f t="shared" si="1"/>
        <v>47187.5</v>
      </c>
      <c r="K7" s="196">
        <f t="shared" ref="K7:K19" si="3">-6400/15</f>
        <v>-426.66666666666669</v>
      </c>
      <c r="L7" s="129">
        <f t="shared" si="2"/>
        <v>46760.833333333336</v>
      </c>
    </row>
    <row r="8" spans="1:15" ht="14.25" customHeight="1">
      <c r="A8" s="81" t="s">
        <v>99</v>
      </c>
      <c r="B8" s="87">
        <v>485</v>
      </c>
      <c r="C8" s="87">
        <v>650</v>
      </c>
      <c r="D8" s="87">
        <v>650</v>
      </c>
      <c r="E8" s="148">
        <v>2819</v>
      </c>
      <c r="F8" s="137"/>
      <c r="G8" s="137"/>
      <c r="H8" s="137"/>
      <c r="I8" s="194"/>
      <c r="J8" s="199">
        <f t="shared" si="1"/>
        <v>47187.5</v>
      </c>
      <c r="K8" s="196">
        <f t="shared" si="3"/>
        <v>-426.66666666666669</v>
      </c>
      <c r="L8" s="129">
        <f t="shared" si="2"/>
        <v>46760.833333333336</v>
      </c>
    </row>
    <row r="9" spans="1:15" ht="14.25" customHeight="1">
      <c r="A9" s="81" t="s">
        <v>98</v>
      </c>
      <c r="B9" s="80">
        <v>14520</v>
      </c>
      <c r="C9" s="79">
        <v>9167</v>
      </c>
      <c r="D9" s="79">
        <v>8981</v>
      </c>
      <c r="E9" s="147">
        <v>58174</v>
      </c>
      <c r="F9" s="137"/>
      <c r="G9" s="137"/>
      <c r="H9" s="137"/>
      <c r="I9" s="194"/>
      <c r="J9" s="199">
        <f t="shared" si="1"/>
        <v>47187.5</v>
      </c>
      <c r="K9" s="196">
        <f t="shared" si="3"/>
        <v>-426.66666666666669</v>
      </c>
      <c r="L9" s="129">
        <f t="shared" si="2"/>
        <v>46760.833333333336</v>
      </c>
    </row>
    <row r="10" spans="1:15" ht="14.25" customHeight="1">
      <c r="A10" s="81" t="s">
        <v>97</v>
      </c>
      <c r="B10" s="80">
        <v>18985</v>
      </c>
      <c r="C10" s="79">
        <v>13596</v>
      </c>
      <c r="D10" s="79">
        <v>13378</v>
      </c>
      <c r="E10" s="147">
        <v>64279</v>
      </c>
      <c r="F10" s="137"/>
      <c r="G10" s="137"/>
      <c r="H10" s="137"/>
      <c r="I10" s="194"/>
      <c r="J10" s="199">
        <f t="shared" si="1"/>
        <v>47187.5</v>
      </c>
      <c r="K10" s="196">
        <f t="shared" si="3"/>
        <v>-426.66666666666669</v>
      </c>
      <c r="L10" s="129">
        <f t="shared" si="2"/>
        <v>46760.833333333336</v>
      </c>
    </row>
    <row r="11" spans="1:15" ht="14.25" customHeight="1">
      <c r="A11" s="81" t="s">
        <v>96</v>
      </c>
      <c r="B11" s="80">
        <v>146158</v>
      </c>
      <c r="C11" s="79">
        <v>148885</v>
      </c>
      <c r="D11" s="79">
        <v>70472</v>
      </c>
      <c r="E11" s="147">
        <v>21977</v>
      </c>
      <c r="F11" s="137"/>
      <c r="G11" s="137"/>
      <c r="H11" s="137"/>
      <c r="I11" s="194"/>
      <c r="J11" s="199">
        <f t="shared" si="1"/>
        <v>47187.5</v>
      </c>
      <c r="K11" s="196">
        <f t="shared" si="3"/>
        <v>-426.66666666666669</v>
      </c>
      <c r="L11" s="129">
        <f t="shared" si="2"/>
        <v>46760.833333333336</v>
      </c>
    </row>
    <row r="12" spans="1:15" ht="14.25" customHeight="1">
      <c r="A12" s="81" t="s">
        <v>95</v>
      </c>
      <c r="B12" s="80">
        <v>39952</v>
      </c>
      <c r="C12" s="79">
        <v>31785</v>
      </c>
      <c r="D12" s="79">
        <v>23524</v>
      </c>
      <c r="E12" s="147">
        <v>1890</v>
      </c>
      <c r="F12" s="137"/>
      <c r="G12" s="137"/>
      <c r="H12" s="137"/>
      <c r="I12" s="194"/>
      <c r="J12" s="199">
        <f t="shared" si="1"/>
        <v>47187.5</v>
      </c>
      <c r="K12" s="196">
        <f t="shared" si="3"/>
        <v>-426.66666666666669</v>
      </c>
      <c r="L12" s="129">
        <f t="shared" si="2"/>
        <v>46760.833333333336</v>
      </c>
    </row>
    <row r="13" spans="1:15" ht="14.25" customHeight="1">
      <c r="A13" s="81" t="s">
        <v>94</v>
      </c>
      <c r="B13" s="80">
        <v>4532</v>
      </c>
      <c r="C13" s="79">
        <v>18062</v>
      </c>
      <c r="D13" s="79">
        <v>16167</v>
      </c>
      <c r="E13" s="147">
        <v>7136</v>
      </c>
      <c r="F13" s="137"/>
      <c r="G13" s="137"/>
      <c r="H13" s="137"/>
      <c r="I13" s="194"/>
      <c r="J13" s="199">
        <f t="shared" si="1"/>
        <v>47187.5</v>
      </c>
      <c r="K13" s="196">
        <f t="shared" si="3"/>
        <v>-426.66666666666669</v>
      </c>
      <c r="L13" s="129">
        <f t="shared" si="2"/>
        <v>46760.833333333336</v>
      </c>
    </row>
    <row r="14" spans="1:15" ht="14.25" customHeight="1">
      <c r="A14" s="81" t="s">
        <v>93</v>
      </c>
      <c r="B14" s="80">
        <v>165025</v>
      </c>
      <c r="C14" s="79">
        <v>99816</v>
      </c>
      <c r="D14" s="79">
        <v>72708</v>
      </c>
      <c r="E14" s="147">
        <v>41134</v>
      </c>
      <c r="F14" s="137"/>
      <c r="G14" s="137"/>
      <c r="H14" s="137"/>
      <c r="I14" s="194"/>
      <c r="J14" s="199">
        <f t="shared" si="1"/>
        <v>47187.5</v>
      </c>
      <c r="K14" s="196">
        <f t="shared" si="3"/>
        <v>-426.66666666666669</v>
      </c>
      <c r="L14" s="129">
        <f t="shared" si="2"/>
        <v>46760.833333333336</v>
      </c>
    </row>
    <row r="15" spans="1:15" ht="14.25" customHeight="1">
      <c r="A15" s="81" t="s">
        <v>92</v>
      </c>
      <c r="B15" s="80">
        <v>74448</v>
      </c>
      <c r="C15" s="79">
        <v>49714</v>
      </c>
      <c r="D15" s="79">
        <v>43016</v>
      </c>
      <c r="E15" s="147">
        <v>16859</v>
      </c>
      <c r="F15" s="137"/>
      <c r="G15" s="137"/>
      <c r="H15" s="137"/>
      <c r="I15" s="194"/>
      <c r="J15" s="199">
        <f t="shared" si="1"/>
        <v>47187.5</v>
      </c>
      <c r="K15" s="196">
        <f t="shared" si="3"/>
        <v>-426.66666666666669</v>
      </c>
      <c r="L15" s="129">
        <f t="shared" si="2"/>
        <v>46760.833333333336</v>
      </c>
    </row>
    <row r="16" spans="1:15" ht="14.25" customHeight="1">
      <c r="A16" s="81" t="s">
        <v>91</v>
      </c>
      <c r="B16" s="80">
        <v>8183</v>
      </c>
      <c r="C16" s="79">
        <v>6713</v>
      </c>
      <c r="D16" s="79">
        <v>6645</v>
      </c>
      <c r="E16" s="147">
        <v>39779</v>
      </c>
      <c r="F16" s="137"/>
      <c r="G16" s="137"/>
      <c r="H16" s="137"/>
      <c r="I16" s="194"/>
      <c r="J16" s="199">
        <f t="shared" si="1"/>
        <v>47187.5</v>
      </c>
      <c r="K16" s="196">
        <f t="shared" si="3"/>
        <v>-426.66666666666669</v>
      </c>
      <c r="L16" s="129">
        <f t="shared" si="2"/>
        <v>46760.833333333336</v>
      </c>
    </row>
    <row r="17" spans="1:14" ht="14.25" customHeight="1">
      <c r="A17" s="81" t="s">
        <v>90</v>
      </c>
      <c r="B17" s="80">
        <v>60031</v>
      </c>
      <c r="C17" s="79">
        <v>63270</v>
      </c>
      <c r="D17" s="79">
        <v>59054</v>
      </c>
      <c r="E17" s="147">
        <v>38080</v>
      </c>
      <c r="F17" s="137"/>
      <c r="G17" s="137"/>
      <c r="H17" s="137"/>
      <c r="I17" s="194"/>
      <c r="J17" s="199">
        <f t="shared" si="1"/>
        <v>47187.5</v>
      </c>
      <c r="K17" s="196">
        <f t="shared" si="3"/>
        <v>-426.66666666666669</v>
      </c>
      <c r="L17" s="129">
        <f t="shared" si="2"/>
        <v>46760.833333333336</v>
      </c>
    </row>
    <row r="18" spans="1:14" ht="14.25" customHeight="1">
      <c r="A18" s="81" t="s">
        <v>89</v>
      </c>
      <c r="B18" s="80">
        <v>23035</v>
      </c>
      <c r="C18" s="79">
        <v>40007</v>
      </c>
      <c r="D18" s="79">
        <v>39408</v>
      </c>
      <c r="E18" s="147">
        <v>277120</v>
      </c>
      <c r="F18" s="137"/>
      <c r="G18" s="137"/>
      <c r="H18" s="137"/>
      <c r="I18" s="194"/>
      <c r="J18" s="199">
        <f t="shared" si="1"/>
        <v>47187.5</v>
      </c>
      <c r="K18" s="196">
        <f t="shared" si="3"/>
        <v>-426.66666666666669</v>
      </c>
      <c r="L18" s="129">
        <f t="shared" si="2"/>
        <v>46760.833333333336</v>
      </c>
    </row>
    <row r="19" spans="1:14" ht="14.25" customHeight="1" thickBot="1">
      <c r="A19" s="85" t="s">
        <v>88</v>
      </c>
      <c r="B19" s="84">
        <v>31238</v>
      </c>
      <c r="C19" s="83">
        <v>30378</v>
      </c>
      <c r="D19" s="83">
        <v>26419</v>
      </c>
      <c r="E19" s="149">
        <v>8488</v>
      </c>
      <c r="F19" s="137"/>
      <c r="G19" s="137"/>
      <c r="H19" s="137"/>
      <c r="I19" s="194"/>
      <c r="J19" s="200">
        <f t="shared" si="1"/>
        <v>47187.5</v>
      </c>
      <c r="K19" s="196">
        <f t="shared" si="3"/>
        <v>-426.66666666666669</v>
      </c>
      <c r="L19" s="130">
        <f t="shared" si="2"/>
        <v>46760.833333333336</v>
      </c>
    </row>
    <row r="20" spans="1:14" ht="14.25" customHeight="1" thickTop="1">
      <c r="A20" s="121" t="s">
        <v>81</v>
      </c>
      <c r="B20" s="122">
        <f t="shared" ref="B20:L20" si="4">SUM(B4:B19)</f>
        <v>799665</v>
      </c>
      <c r="C20" s="122">
        <f t="shared" si="4"/>
        <v>765022</v>
      </c>
      <c r="D20" s="122">
        <f t="shared" si="4"/>
        <v>507429</v>
      </c>
      <c r="E20" s="122">
        <f t="shared" si="4"/>
        <v>599467</v>
      </c>
      <c r="F20" s="146">
        <f t="shared" si="4"/>
        <v>0</v>
      </c>
      <c r="G20" s="146">
        <f t="shared" si="4"/>
        <v>0</v>
      </c>
      <c r="H20" s="146">
        <f t="shared" si="4"/>
        <v>0</v>
      </c>
      <c r="I20" s="155">
        <f t="shared" si="4"/>
        <v>0</v>
      </c>
      <c r="J20" s="160">
        <f t="shared" si="4"/>
        <v>755000</v>
      </c>
      <c r="K20" s="197">
        <f t="shared" si="4"/>
        <v>0</v>
      </c>
      <c r="L20" s="170">
        <f t="shared" si="4"/>
        <v>755000.00000000012</v>
      </c>
    </row>
    <row r="21" spans="1:14" ht="14.25" customHeight="1" thickBot="1">
      <c r="A21" s="144" t="s">
        <v>134</v>
      </c>
      <c r="B21" s="134"/>
      <c r="C21" s="134"/>
      <c r="D21" s="133"/>
      <c r="E21" s="144"/>
      <c r="F21" s="127"/>
      <c r="G21" s="127"/>
      <c r="H21" s="127"/>
      <c r="I21" s="142" t="s">
        <v>115</v>
      </c>
      <c r="J21" s="161"/>
      <c r="K21" s="167" t="s">
        <v>118</v>
      </c>
      <c r="L21" s="165">
        <v>225000</v>
      </c>
    </row>
    <row r="22" spans="1:14" ht="14.25" customHeight="1" thickTop="1">
      <c r="A22" s="144" t="s">
        <v>135</v>
      </c>
      <c r="B22" s="133"/>
      <c r="C22" s="133"/>
      <c r="D22" s="133"/>
      <c r="E22" s="133"/>
      <c r="F22" s="127"/>
      <c r="G22" s="127"/>
      <c r="H22" s="127"/>
      <c r="I22" s="127"/>
      <c r="J22" s="164"/>
      <c r="K22" s="168"/>
      <c r="L22" s="192">
        <f>SUM(L20:L21)</f>
        <v>980000.00000000012</v>
      </c>
      <c r="N22" s="135"/>
    </row>
    <row r="23" spans="1:14" ht="15" customHeight="1">
      <c r="A23" s="133"/>
      <c r="B23" s="133"/>
      <c r="C23" s="133"/>
      <c r="D23" s="133"/>
      <c r="E23" s="133"/>
      <c r="F23" s="133"/>
      <c r="G23" s="133"/>
      <c r="H23" s="133"/>
      <c r="I23" s="127"/>
      <c r="J23" s="164"/>
      <c r="K23" s="168"/>
      <c r="L23" s="169"/>
      <c r="N23" s="135"/>
    </row>
    <row r="24" spans="1:14" ht="12" customHeight="1">
      <c r="A24" s="176" t="s">
        <v>38</v>
      </c>
      <c r="B24" s="177">
        <f>'3. Annual Budget '!M30</f>
        <v>55000</v>
      </c>
      <c r="C24" s="94"/>
      <c r="D24" s="94"/>
      <c r="E24" s="94"/>
      <c r="F24" s="94"/>
      <c r="G24" s="94"/>
      <c r="H24" s="94"/>
      <c r="I24" s="94"/>
      <c r="J24" s="135"/>
      <c r="K24" s="135"/>
      <c r="L24" s="159"/>
      <c r="N24" s="135"/>
    </row>
    <row r="25" spans="1:14" ht="12" customHeight="1">
      <c r="A25" s="176" t="s">
        <v>124</v>
      </c>
      <c r="B25" s="177">
        <f>'3. Annual Budget '!M32</f>
        <v>300000</v>
      </c>
      <c r="C25" s="94"/>
      <c r="D25" s="94"/>
      <c r="E25" s="94"/>
      <c r="F25" s="94"/>
      <c r="G25" s="94"/>
      <c r="H25" s="94"/>
      <c r="I25" s="94"/>
      <c r="J25" s="94"/>
      <c r="K25" s="94"/>
      <c r="L25" s="145"/>
    </row>
    <row r="26" spans="1:14" ht="12" customHeight="1">
      <c r="A26" s="176" t="s">
        <v>116</v>
      </c>
      <c r="B26" s="177">
        <f>'3. Annual Budget '!M5+'3. Annual Budget '!M6</f>
        <v>95000</v>
      </c>
      <c r="C26" s="94"/>
      <c r="D26" s="94"/>
      <c r="E26" s="94"/>
      <c r="F26" s="94"/>
      <c r="G26" s="94"/>
      <c r="H26" s="94"/>
      <c r="I26" s="94"/>
      <c r="J26" s="94"/>
      <c r="K26" s="94"/>
      <c r="L26" s="77"/>
    </row>
    <row r="27" spans="1:14" ht="12" customHeight="1">
      <c r="A27" s="176" t="s">
        <v>125</v>
      </c>
      <c r="B27" s="177">
        <v>225000</v>
      </c>
      <c r="C27" s="94"/>
      <c r="D27" s="94"/>
      <c r="E27" s="94"/>
      <c r="F27" s="94"/>
      <c r="G27" s="94"/>
      <c r="H27" s="94"/>
      <c r="I27" s="94"/>
      <c r="J27" s="94"/>
      <c r="K27" s="94"/>
      <c r="L27" s="77"/>
    </row>
    <row r="28" spans="1:14" ht="12" customHeight="1">
      <c r="A28" s="176" t="s">
        <v>126</v>
      </c>
      <c r="B28" s="174">
        <f>355000/16</f>
        <v>22187.5</v>
      </c>
      <c r="C28" s="94"/>
      <c r="D28" s="94"/>
      <c r="E28" s="94"/>
      <c r="F28" s="94"/>
      <c r="G28" s="94"/>
      <c r="H28" s="94"/>
      <c r="I28" s="94"/>
      <c r="J28" s="94"/>
      <c r="K28" s="94"/>
      <c r="L28" s="77"/>
    </row>
    <row r="29" spans="1:14" ht="12" customHeight="1">
      <c r="A29" s="176" t="s">
        <v>120</v>
      </c>
      <c r="B29" s="178">
        <v>980000</v>
      </c>
      <c r="C29" s="94"/>
      <c r="D29" s="94"/>
      <c r="E29" s="94"/>
      <c r="F29" s="94"/>
      <c r="G29" s="94"/>
      <c r="H29" s="94"/>
      <c r="I29" s="94"/>
      <c r="J29" s="94"/>
      <c r="K29" s="94"/>
      <c r="L29" s="77"/>
    </row>
    <row r="30" spans="1:14" ht="39" customHeight="1">
      <c r="A30" s="176" t="s">
        <v>127</v>
      </c>
      <c r="B30" s="177">
        <f>B28+'3. Annual Budget '!M6+'3. Annual Budget '!M5</f>
        <v>117187.5</v>
      </c>
      <c r="C30" s="94"/>
      <c r="D30" s="94"/>
      <c r="E30" s="94"/>
      <c r="F30" s="94"/>
      <c r="G30" s="94"/>
      <c r="H30" s="94"/>
      <c r="I30" s="94"/>
      <c r="J30" s="94"/>
      <c r="K30" s="94"/>
      <c r="L30" s="136"/>
    </row>
    <row r="31" spans="1:14" ht="12" customHeight="1">
      <c r="A31" s="77"/>
      <c r="B31" s="94"/>
      <c r="C31" s="94"/>
      <c r="D31" s="94"/>
      <c r="E31" s="94" t="s">
        <v>119</v>
      </c>
      <c r="F31" s="94"/>
      <c r="G31" s="94"/>
      <c r="H31" s="94"/>
      <c r="I31" s="94"/>
      <c r="J31" s="94"/>
      <c r="K31" s="94"/>
      <c r="L31" s="77"/>
    </row>
    <row r="32" spans="1:14" ht="12" customHeight="1">
      <c r="A32" s="7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77"/>
    </row>
    <row r="33" spans="1:13" ht="12" customHeight="1">
      <c r="A33" s="7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77"/>
    </row>
    <row r="34" spans="1:13" ht="12" customHeight="1">
      <c r="A34" s="77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77"/>
    </row>
    <row r="35" spans="1:13" ht="12" customHeight="1">
      <c r="A35" s="77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77"/>
    </row>
    <row r="36" spans="1:13" ht="12" customHeight="1">
      <c r="A36" s="77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77"/>
    </row>
    <row r="37" spans="1:13" ht="12" customHeight="1">
      <c r="A37" s="77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77"/>
    </row>
    <row r="38" spans="1:13" ht="12" customHeight="1">
      <c r="A38" s="7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77"/>
    </row>
    <row r="39" spans="1:13" ht="12" customHeight="1">
      <c r="A39" s="7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77"/>
    </row>
    <row r="40" spans="1:13" ht="14.25" customHeight="1">
      <c r="A40" s="76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77"/>
    </row>
    <row r="41" spans="1:13" ht="14.25" customHeight="1">
      <c r="A41" s="7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77"/>
    </row>
    <row r="42" spans="1:13" ht="14.25" customHeight="1">
      <c r="A42" s="76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77"/>
    </row>
    <row r="43" spans="1:13" ht="14.25" customHeight="1">
      <c r="A43" s="7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77"/>
    </row>
    <row r="44" spans="1:13" ht="14.25" customHeight="1">
      <c r="A44" s="76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75"/>
    </row>
    <row r="45" spans="1:13" ht="19.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/>
  <cols>
    <col min="1" max="1" width="20.42578125" style="73" customWidth="1"/>
    <col min="2" max="2" width="16.28515625" style="73" customWidth="1"/>
    <col min="3" max="4" width="14.85546875" style="73" customWidth="1"/>
  </cols>
  <sheetData>
    <row r="1" spans="1:4" ht="28.5" customHeight="1">
      <c r="A1" s="191" t="s">
        <v>170</v>
      </c>
      <c r="B1" s="124"/>
      <c r="C1" s="124"/>
      <c r="D1" s="124"/>
    </row>
    <row r="2" spans="1:4" ht="51">
      <c r="A2" s="223" t="s">
        <v>137</v>
      </c>
      <c r="B2" s="224" t="s">
        <v>175</v>
      </c>
      <c r="C2" s="224" t="s">
        <v>172</v>
      </c>
      <c r="D2" s="224" t="s">
        <v>171</v>
      </c>
    </row>
    <row r="3" spans="1:4">
      <c r="A3" s="225" t="s">
        <v>138</v>
      </c>
      <c r="B3" s="129">
        <f>'Cost Allocation'!M4</f>
        <v>24376.508271498678</v>
      </c>
      <c r="C3" s="129">
        <f>'All 50_50'!L4</f>
        <v>5136.2476384455495</v>
      </c>
      <c r="D3" s="129">
        <f>'All Even Split'!L4</f>
        <v>46760.833333333336</v>
      </c>
    </row>
    <row r="4" spans="1:4">
      <c r="A4" s="225" t="s">
        <v>139</v>
      </c>
      <c r="B4" s="129">
        <f>'Cost Allocation'!M5</f>
        <v>54954.669831017032</v>
      </c>
      <c r="C4" s="129">
        <f>'All 50_50'!L5</f>
        <v>70168.67574390005</v>
      </c>
      <c r="D4" s="129">
        <f>'All Even Split'!L5</f>
        <v>46760.833333333336</v>
      </c>
    </row>
    <row r="5" spans="1:4">
      <c r="A5" s="225" t="s">
        <v>140</v>
      </c>
      <c r="B5" s="129">
        <f>'Cost Allocation'!M6</f>
        <v>45790.884412614942</v>
      </c>
      <c r="C5" s="129">
        <f>'All 50_50'!L6</f>
        <v>42987.479525420502</v>
      </c>
      <c r="D5" s="129">
        <f>'All Even Split'!L6</f>
        <v>53587.5</v>
      </c>
    </row>
    <row r="6" spans="1:4">
      <c r="A6" s="225" t="s">
        <v>141</v>
      </c>
      <c r="B6" s="129">
        <f>'Cost Allocation'!M7</f>
        <v>22478.080516233291</v>
      </c>
      <c r="C6" s="129">
        <f>'All 50_50'!L7</f>
        <v>1098.7463561205716</v>
      </c>
      <c r="D6" s="129">
        <f>'All Even Split'!L7</f>
        <v>46760.833333333336</v>
      </c>
    </row>
    <row r="7" spans="1:4">
      <c r="A7" s="225" t="s">
        <v>142</v>
      </c>
      <c r="B7" s="129">
        <f>'Cost Allocation'!M8</f>
        <v>22703.183443276361</v>
      </c>
      <c r="C7" s="129">
        <f>'All 50_50'!L8</f>
        <v>1577.486384057242</v>
      </c>
      <c r="D7" s="129">
        <f>'All Even Split'!L8</f>
        <v>46760.833333333336</v>
      </c>
    </row>
    <row r="8" spans="1:4">
      <c r="A8" s="225" t="s">
        <v>143</v>
      </c>
      <c r="B8" s="129">
        <f>'Cost Allocation'!M9</f>
        <v>42208.91792664813</v>
      </c>
      <c r="C8" s="129">
        <f>'All 50_50'!L9</f>
        <v>43061.513243059169</v>
      </c>
      <c r="D8" s="129">
        <f>'All Even Split'!L9</f>
        <v>46760.833333333336</v>
      </c>
    </row>
    <row r="9" spans="1:4">
      <c r="A9" s="225" t="s">
        <v>144</v>
      </c>
      <c r="B9" s="129">
        <f>'Cost Allocation'!M10</f>
        <v>45007.673131301599</v>
      </c>
      <c r="C9" s="129">
        <f>'All 50_50'!L10</f>
        <v>49013.795438871472</v>
      </c>
      <c r="D9" s="129">
        <f>'All Even Split'!L10</f>
        <v>46760.833333333336</v>
      </c>
    </row>
    <row r="10" spans="1:4">
      <c r="A10" s="225" t="s">
        <v>145</v>
      </c>
      <c r="B10" s="129">
        <f>'Cost Allocation'!M11</f>
        <v>60710.53466167079</v>
      </c>
      <c r="C10" s="129">
        <f>'All 50_50'!L11</f>
        <v>82410.022073881992</v>
      </c>
      <c r="D10" s="129">
        <f>'All Even Split'!L11</f>
        <v>46760.833333333336</v>
      </c>
    </row>
    <row r="11" spans="1:4">
      <c r="A11" s="225" t="s">
        <v>146</v>
      </c>
      <c r="B11" s="129">
        <f>'Cost Allocation'!M12</f>
        <v>31188.518965917658</v>
      </c>
      <c r="C11" s="129">
        <f>'All 50_50'!L12</f>
        <v>19623.763340660553</v>
      </c>
      <c r="D11" s="129">
        <f>'All Even Split'!L12</f>
        <v>46760.833333333336</v>
      </c>
    </row>
    <row r="12" spans="1:4">
      <c r="A12" s="225" t="s">
        <v>147</v>
      </c>
      <c r="B12" s="129">
        <f>'Cost Allocation'!M13</f>
        <v>24879.735743513596</v>
      </c>
      <c r="C12" s="129">
        <f>'All 50_50'!L13</f>
        <v>6206.4919803364328</v>
      </c>
      <c r="D12" s="129">
        <f>'All Even Split'!L13</f>
        <v>46760.833333333336</v>
      </c>
    </row>
    <row r="13" spans="1:4">
      <c r="A13" s="225" t="s">
        <v>148</v>
      </c>
      <c r="B13" s="129">
        <f>'Cost Allocation'!M14</f>
        <v>70570.722032828926</v>
      </c>
      <c r="C13" s="129">
        <f>'All 50_50'!L14</f>
        <v>103380.27972240142</v>
      </c>
      <c r="D13" s="129">
        <f>'All Even Split'!L14</f>
        <v>46760.833333333336</v>
      </c>
    </row>
    <row r="14" spans="1:4">
      <c r="A14" s="225" t="s">
        <v>149</v>
      </c>
      <c r="B14" s="129">
        <f>'Cost Allocation'!M15</f>
        <v>43277.791834073629</v>
      </c>
      <c r="C14" s="129">
        <f>'All 50_50'!L15</f>
        <v>45334.752116597898</v>
      </c>
      <c r="D14" s="129">
        <f>'All Even Split'!L15</f>
        <v>46760.833333333336</v>
      </c>
    </row>
    <row r="15" spans="1:4">
      <c r="A15" s="225" t="s">
        <v>150</v>
      </c>
      <c r="B15" s="129">
        <f>'Cost Allocation'!M16</f>
        <v>35355.614388036651</v>
      </c>
      <c r="C15" s="129">
        <f>'All 50_50'!L16</f>
        <v>28486.177548265729</v>
      </c>
      <c r="D15" s="129">
        <f>'All Even Split'!L16</f>
        <v>46760.833333333336</v>
      </c>
    </row>
    <row r="16" spans="1:4">
      <c r="A16" s="225" t="s">
        <v>151</v>
      </c>
      <c r="B16" s="129">
        <f>'Cost Allocation'!M17</f>
        <v>46361.140886705361</v>
      </c>
      <c r="C16" s="129">
        <f>'All 50_50'!L17</f>
        <v>51892.29728487102</v>
      </c>
      <c r="D16" s="129">
        <f>'All Even Split'!L17</f>
        <v>46760.833333333336</v>
      </c>
    </row>
    <row r="17" spans="1:4">
      <c r="A17" s="225" t="s">
        <v>152</v>
      </c>
      <c r="B17" s="129">
        <f>'Cost Allocation'!M18</f>
        <v>108928.08987675699</v>
      </c>
      <c r="C17" s="129">
        <f>'All 50_50'!L18</f>
        <v>184957.21696793858</v>
      </c>
      <c r="D17" s="129">
        <f>'All Even Split'!L18</f>
        <v>46760.833333333336</v>
      </c>
    </row>
    <row r="18" spans="1:4" ht="15.75" thickBot="1">
      <c r="A18" s="226" t="s">
        <v>153</v>
      </c>
      <c r="B18" s="130">
        <f>'Cost Allocation'!M19</f>
        <v>31207.934077906397</v>
      </c>
      <c r="C18" s="130">
        <f>'All 50_50'!L19</f>
        <v>19665.054635171826</v>
      </c>
      <c r="D18" s="130">
        <f>'All Even Split'!L19</f>
        <v>46760.833333333336</v>
      </c>
    </row>
    <row r="19" spans="1:4" ht="15.75" thickTop="1">
      <c r="A19" s="227" t="s">
        <v>173</v>
      </c>
      <c r="B19" s="183">
        <f>SUM(B3:B18)</f>
        <v>710000</v>
      </c>
      <c r="C19" s="187">
        <f>SUM(C3:C18)</f>
        <v>754999.99999999988</v>
      </c>
      <c r="D19" s="187">
        <f>SUM(D3:D18)</f>
        <v>755000.00000000012</v>
      </c>
    </row>
    <row r="20" spans="1:4">
      <c r="A20" s="221" t="s">
        <v>118</v>
      </c>
      <c r="B20" s="183">
        <f>'Cost Allocation'!M21</f>
        <v>225000</v>
      </c>
      <c r="C20" s="183">
        <f>'All 50_50'!L21</f>
        <v>225000</v>
      </c>
      <c r="D20" s="183">
        <f>'All Even Split'!L21</f>
        <v>225000</v>
      </c>
    </row>
    <row r="21" spans="1:4" ht="15.75" thickBot="1">
      <c r="A21" s="222" t="s">
        <v>174</v>
      </c>
      <c r="B21" s="188">
        <f>'Cost Allocation'!M22</f>
        <v>45000</v>
      </c>
      <c r="C21" s="188"/>
      <c r="D21" s="189"/>
    </row>
    <row r="22" spans="1:4" ht="15.75" thickTop="1">
      <c r="A22" s="184"/>
      <c r="B22" s="159">
        <f>'Cost Allocation'!M23</f>
        <v>980000</v>
      </c>
      <c r="C22" s="187">
        <f>C19+C20</f>
        <v>979999.99999999988</v>
      </c>
      <c r="D22" s="187">
        <f>'All Even Split'!L22</f>
        <v>980000.00000000012</v>
      </c>
    </row>
    <row r="24" spans="1:4">
      <c r="A24" s="185"/>
      <c r="B24" s="186"/>
      <c r="C24" s="77"/>
      <c r="D24" s="77"/>
    </row>
    <row r="25" spans="1:4">
      <c r="A25" s="173"/>
      <c r="B25" s="136"/>
      <c r="C25" s="145"/>
      <c r="D25" s="145"/>
    </row>
    <row r="26" spans="1:4">
      <c r="A26" s="173"/>
      <c r="B26" s="77"/>
      <c r="C26" s="77"/>
      <c r="D26" s="77"/>
    </row>
    <row r="27" spans="1:4">
      <c r="A27" s="173"/>
      <c r="B27" s="77"/>
      <c r="C27" s="77"/>
      <c r="D27" s="77"/>
    </row>
    <row r="28" spans="1:4">
      <c r="A28" s="173"/>
      <c r="B28" s="77"/>
      <c r="C28" s="77"/>
      <c r="D28" s="77"/>
    </row>
    <row r="29" spans="1:4">
      <c r="A29" s="98"/>
      <c r="B29" s="77"/>
      <c r="C29" s="77"/>
      <c r="D29" s="77"/>
    </row>
    <row r="30" spans="1:4">
      <c r="A30" s="77"/>
      <c r="B30" s="77"/>
      <c r="C30" s="136"/>
      <c r="D30" s="136"/>
    </row>
    <row r="31" spans="1:4">
      <c r="A31" s="77"/>
      <c r="B31" s="77"/>
      <c r="C31" s="77"/>
      <c r="D31" s="77"/>
    </row>
    <row r="32" spans="1:4">
      <c r="A32" s="77"/>
      <c r="B32" s="77"/>
      <c r="C32" s="77"/>
      <c r="D32" s="77"/>
    </row>
    <row r="33" spans="1:4">
      <c r="A33" s="77"/>
      <c r="B33" s="77"/>
      <c r="C33" s="77"/>
      <c r="D33" s="77"/>
    </row>
    <row r="34" spans="1:4">
      <c r="A34" s="77"/>
      <c r="B34" s="77"/>
      <c r="C34" s="77"/>
      <c r="D34" s="77"/>
    </row>
    <row r="35" spans="1:4">
      <c r="A35" s="77"/>
      <c r="B35" s="77"/>
      <c r="C35" s="77"/>
      <c r="D35" s="77"/>
    </row>
    <row r="36" spans="1:4">
      <c r="A36" s="77"/>
      <c r="B36" s="77"/>
      <c r="C36" s="77"/>
      <c r="D36" s="77"/>
    </row>
    <row r="37" spans="1:4">
      <c r="A37" s="77"/>
      <c r="B37" s="77"/>
      <c r="C37" s="77"/>
      <c r="D37" s="77"/>
    </row>
    <row r="38" spans="1:4">
      <c r="A38" s="77"/>
      <c r="B38" s="77"/>
      <c r="C38" s="77"/>
      <c r="D38" s="77"/>
    </row>
    <row r="39" spans="1:4">
      <c r="A39" s="77"/>
      <c r="B39" s="77"/>
      <c r="C39" s="77"/>
      <c r="D39" s="77"/>
    </row>
    <row r="40" spans="1:4">
      <c r="B40" s="77"/>
      <c r="C40" s="77"/>
      <c r="D40" s="77"/>
    </row>
    <row r="41" spans="1:4">
      <c r="B41" s="77"/>
      <c r="C41" s="77"/>
      <c r="D41" s="77"/>
    </row>
    <row r="42" spans="1:4">
      <c r="B42" s="77"/>
      <c r="C42" s="77"/>
      <c r="D42" s="77"/>
    </row>
    <row r="43" spans="1:4">
      <c r="B43" s="77"/>
      <c r="C43" s="77"/>
      <c r="D43" s="77"/>
    </row>
    <row r="44" spans="1:4">
      <c r="B44" s="75"/>
      <c r="C44" s="75"/>
      <c r="D44" s="75"/>
    </row>
    <row r="45" spans="1:4">
      <c r="B45" s="98"/>
      <c r="C45" s="98"/>
      <c r="D45" s="98"/>
    </row>
  </sheetData>
  <printOptions horizontalCentered="1" vertic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3. Annual Budget </vt:lpstr>
      <vt:lpstr>Cost Allocation</vt:lpstr>
      <vt:lpstr>All 50_50</vt:lpstr>
      <vt:lpstr>All Even Split</vt:lpstr>
      <vt:lpstr>Comparison</vt:lpstr>
      <vt:lpstr>'3. Annual Budget '!Print_Area</vt:lpstr>
      <vt:lpstr>'All 50_50'!Print_Area</vt:lpstr>
      <vt:lpstr>'All Even Split'!Print_Area</vt:lpstr>
      <vt:lpstr>Comparison!Print_Area</vt:lpstr>
      <vt:lpstr>'Cost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aconnelly</dc:creator>
  <cp:lastModifiedBy>Zidar, Matt</cp:lastModifiedBy>
  <cp:lastPrinted>2019-10-14T19:10:45Z</cp:lastPrinted>
  <dcterms:created xsi:type="dcterms:W3CDTF">2019-09-26T18:30:26Z</dcterms:created>
  <dcterms:modified xsi:type="dcterms:W3CDTF">2019-10-14T20:06:05Z</dcterms:modified>
</cp:coreProperties>
</file>